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skerhverv.sharepoint.com/sites/DE-LnogOverenskomst/Delte dokumenter/Overenskomst/Beregnere/BPA/"/>
    </mc:Choice>
  </mc:AlternateContent>
  <xr:revisionPtr revIDLastSave="6" documentId="8_{858C4ACD-63C4-41CA-984B-CB3ABF86F7AA}" xr6:coauthVersionLast="47" xr6:coauthVersionMax="47" xr10:uidLastSave="{C0C39E1C-F4EE-4133-9387-9397BC16FDC1}"/>
  <workbookProtection workbookAlgorithmName="SHA-512" workbookHashValue="Hr9a4Rbric4JM56iR2JgKlV/rVIjHkWxO8pNMtwCAeJ87z1tCC/5GQApZe/liNbU+MwK/wQhq08Gdtv89HQzqg==" workbookSaltValue="xIwOT9y4kzH3DuEL3Gu4uw==" workbookSpinCount="100000" lockStructure="1"/>
  <bookViews>
    <workbookView xWindow="-113" yWindow="-113" windowWidth="24267" windowHeight="13023" xr2:uid="{00000000-000D-0000-FFFF-FFFF00000000}"/>
  </bookViews>
  <sheets>
    <sheet name="Administration" sheetId="13" r:id="rId1"/>
    <sheet name="Forudsætninger" sheetId="14" r:id="rId2"/>
    <sheet name="BPA-HHOK" sheetId="10" r:id="rId3"/>
    <sheet name="SOSU-OK" sheetId="11" r:id="rId4"/>
    <sheet name="Budgetark" sheetId="12" r:id="rId5"/>
  </sheets>
  <externalReferences>
    <externalReference r:id="rId6"/>
  </externalReferences>
  <definedNames>
    <definedName name="Engangsvederlag">[1]Forudsætninger!$H$73:$K$74</definedName>
    <definedName name="Forhøjetpens.">Forudsætninger!#REF!</definedName>
    <definedName name="Forhøjetpension">Forudsætninger!$L$38</definedName>
    <definedName name="Fremskrivning">Tabel1[[Årsfremskrivning ]:[Generel pris- og lønstigning, pct.]]</definedName>
    <definedName name="Kommuneliste">Forudsætninger!$P$6:$P$105</definedName>
    <definedName name="Kommunenavn">Forudsætninger!$P$6:$Q$105</definedName>
    <definedName name="Kommunetakst">#REF!</definedName>
    <definedName name="Kommunetakst2">#REF!</definedName>
    <definedName name="kommunetakster">#REF!</definedName>
    <definedName name="Kommunetakster1">#REF!</definedName>
    <definedName name="Kommunetakster10">#REF!</definedName>
    <definedName name="Kommunetakster14">#REF!</definedName>
    <definedName name="Kommunetakstsosu">#REF!</definedName>
    <definedName name="Lønsatsdatoer">#REF!</definedName>
    <definedName name="Lønsatsdatoer1">#REF!</definedName>
    <definedName name="Lønsatsdatoer2">#REF!</definedName>
    <definedName name="Lønsatsdatoer3">#REF!</definedName>
    <definedName name="Lønsatsdatoer4">#REF!</definedName>
    <definedName name="Lønsatser">Forudsætninger!$B$10:$G$33</definedName>
    <definedName name="Løntrin">Forudsætninger!$B$10:$B$33</definedName>
    <definedName name="Løntrin2">Forudsætninger!$V$10:$V$33</definedName>
    <definedName name="Stedtillæg">Forudsætninger!$C$9:$G$9</definedName>
    <definedName name="Stedtillæg2">Forudsætninger!$W$9:$AA$9</definedName>
    <definedName name="Timepriser">Forudsætninger!$C$10:$G$33</definedName>
    <definedName name="Timepriser2">Forudsætninger!$W$10:$AA$33</definedName>
    <definedName name="Vælg">Forudsætninger!$R$1:$R$3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13" l="1"/>
  <c r="E57" i="13" s="1"/>
  <c r="E58" i="13" s="1"/>
  <c r="V8" i="14"/>
  <c r="M119" i="11"/>
  <c r="M118" i="11"/>
  <c r="M119" i="10"/>
  <c r="I52" i="14" l="1"/>
  <c r="F84" i="14" l="1"/>
  <c r="F82" i="14"/>
  <c r="E99" i="11"/>
  <c r="E99" i="10"/>
  <c r="E43" i="13"/>
  <c r="E44" i="13" s="1"/>
  <c r="E45" i="13" s="1"/>
  <c r="E46" i="13" s="1"/>
  <c r="E47" i="13" s="1"/>
  <c r="E48" i="13" s="1"/>
  <c r="E49" i="13" s="1"/>
  <c r="E50" i="13" s="1"/>
  <c r="E51" i="13" s="1"/>
  <c r="E52" i="13" s="1"/>
  <c r="E53" i="13" s="1"/>
  <c r="E54" i="13" s="1"/>
  <c r="E55" i="13" s="1"/>
  <c r="I64" i="14"/>
  <c r="G95" i="10" l="1"/>
  <c r="E95" i="10"/>
  <c r="M95" i="10" s="1"/>
  <c r="G95" i="11" l="1"/>
  <c r="C5" i="11"/>
  <c r="C5" i="10"/>
  <c r="G94" i="10" l="1"/>
  <c r="G94" i="11"/>
  <c r="F4" i="11" l="1"/>
  <c r="G8" i="11" s="1"/>
  <c r="F4" i="10"/>
  <c r="G8" i="10" l="1"/>
  <c r="G50" i="10" s="1"/>
  <c r="C3" i="12"/>
  <c r="E68" i="11" l="1"/>
  <c r="E68" i="10"/>
  <c r="M116" i="11" l="1"/>
  <c r="J7" i="12" l="1"/>
  <c r="J6" i="12"/>
  <c r="G7" i="12"/>
  <c r="G6" i="12"/>
  <c r="D10" i="13" l="1"/>
  <c r="I47" i="11"/>
  <c r="H47" i="11"/>
  <c r="J47" i="11"/>
  <c r="G47" i="11"/>
  <c r="G47" i="10"/>
  <c r="H47" i="10"/>
  <c r="I47" i="10"/>
  <c r="J47" i="10"/>
  <c r="F64" i="11" l="1"/>
  <c r="F63" i="11"/>
  <c r="F60" i="11"/>
  <c r="F58" i="11"/>
  <c r="G50" i="11"/>
  <c r="M8" i="11"/>
  <c r="L8" i="11"/>
  <c r="K8" i="11"/>
  <c r="J8" i="11"/>
  <c r="I8" i="11"/>
  <c r="E89" i="11" l="1"/>
  <c r="E89" i="10"/>
  <c r="E47" i="11" l="1"/>
  <c r="J11" i="12" s="1"/>
  <c r="F60" i="10" l="1"/>
  <c r="F62" i="11" l="1"/>
  <c r="E114" i="10"/>
  <c r="M114" i="10" s="1"/>
  <c r="E112" i="10"/>
  <c r="M112" i="10" s="1"/>
  <c r="C47" i="10" l="1"/>
  <c r="E76" i="11" l="1"/>
  <c r="M76" i="11" s="1"/>
  <c r="C19" i="12" s="1"/>
  <c r="E76" i="10"/>
  <c r="M76" i="10" s="1"/>
  <c r="B19" i="12" s="1"/>
  <c r="E78" i="11" l="1"/>
  <c r="G70" i="10" l="1"/>
  <c r="E72" i="11" l="1"/>
  <c r="M72" i="11" s="1"/>
  <c r="E72" i="10"/>
  <c r="M72" i="10" s="1"/>
  <c r="M8" i="10"/>
  <c r="L8" i="10"/>
  <c r="K8" i="10"/>
  <c r="I8" i="10"/>
  <c r="J8" i="10"/>
  <c r="F58" i="10"/>
  <c r="F63" i="10"/>
  <c r="F64" i="10"/>
  <c r="F62" i="10"/>
  <c r="E116" i="11" l="1"/>
  <c r="E114" i="11"/>
  <c r="M114" i="11" s="1"/>
  <c r="E112" i="11"/>
  <c r="M112" i="11" s="1"/>
  <c r="E116" i="10"/>
  <c r="M116" i="10" s="1"/>
  <c r="F86" i="14"/>
  <c r="E81" i="14"/>
  <c r="F81" i="14" s="1"/>
  <c r="E97" i="14" l="1"/>
  <c r="G93" i="11" s="1"/>
  <c r="G97" i="10"/>
  <c r="E74" i="11"/>
  <c r="M74" i="11" s="1"/>
  <c r="C18" i="12" s="1"/>
  <c r="E74" i="10"/>
  <c r="M74" i="10" s="1"/>
  <c r="B18" i="12" s="1"/>
  <c r="E78" i="10"/>
  <c r="B3" i="12" l="1"/>
  <c r="E33" i="13" l="1"/>
  <c r="F33" i="13" s="1"/>
  <c r="E32" i="13"/>
  <c r="F32" i="13" s="1"/>
  <c r="E31" i="13"/>
  <c r="F31" i="13" s="1"/>
  <c r="F26" i="13"/>
  <c r="E26" i="13"/>
  <c r="D26" i="13"/>
  <c r="C26" i="13"/>
  <c r="C27" i="12" l="1"/>
  <c r="C37" i="12" s="1"/>
  <c r="B27" i="12"/>
  <c r="B37" i="12" s="1"/>
  <c r="N13" i="11" l="1"/>
  <c r="O13" i="11"/>
  <c r="N18" i="11"/>
  <c r="O18" i="11"/>
  <c r="N23" i="11"/>
  <c r="O23" i="11"/>
  <c r="N28" i="11"/>
  <c r="O28" i="11"/>
  <c r="N33" i="11"/>
  <c r="O33" i="11"/>
  <c r="N38" i="11"/>
  <c r="O38" i="11"/>
  <c r="O38" i="10"/>
  <c r="O33" i="10"/>
  <c r="O28" i="10"/>
  <c r="O23" i="10"/>
  <c r="O18" i="10"/>
  <c r="O13" i="10"/>
  <c r="N38" i="10"/>
  <c r="N33" i="10"/>
  <c r="N28" i="10"/>
  <c r="N23" i="10"/>
  <c r="N18" i="10"/>
  <c r="N13" i="10"/>
  <c r="G70" i="11" l="1"/>
  <c r="G97" i="11" l="1"/>
  <c r="D47" i="11"/>
  <c r="J12" i="12" s="1"/>
  <c r="C47" i="11"/>
  <c r="E47" i="10"/>
  <c r="D47" i="10"/>
  <c r="G11" i="12" l="1"/>
  <c r="G10" i="12"/>
  <c r="E50" i="11"/>
  <c r="M50" i="11" s="1"/>
  <c r="F47" i="11"/>
  <c r="J10" i="12"/>
  <c r="G12" i="12"/>
  <c r="E50" i="10"/>
  <c r="M50" i="10" s="1"/>
  <c r="F47" i="10"/>
  <c r="M118" i="10" s="1"/>
  <c r="G93" i="10"/>
  <c r="C6" i="12" l="1"/>
  <c r="F68" i="11"/>
  <c r="M68" i="11" s="1"/>
  <c r="C13" i="12" s="1"/>
  <c r="F68" i="10"/>
  <c r="M68" i="10" s="1"/>
  <c r="B13" i="12" s="1"/>
  <c r="E52" i="10"/>
  <c r="B6" i="12"/>
  <c r="B27" i="13"/>
  <c r="C27" i="13" s="1"/>
  <c r="D27" i="13" s="1"/>
  <c r="E52" i="11"/>
  <c r="C10" i="12"/>
  <c r="E64" i="11"/>
  <c r="B10" i="12"/>
  <c r="E64" i="10"/>
  <c r="J13" i="12" l="1"/>
  <c r="G13" i="12"/>
  <c r="E54" i="11"/>
  <c r="E97" i="11"/>
  <c r="J15" i="12" s="1"/>
  <c r="E54" i="10"/>
  <c r="E97" i="10"/>
  <c r="G15" i="12" s="1"/>
  <c r="E93" i="10" l="1"/>
  <c r="M93" i="10" s="1"/>
  <c r="F56" i="10"/>
  <c r="M56" i="10" s="1"/>
  <c r="F66" i="11"/>
  <c r="G66" i="11"/>
  <c r="E93" i="11"/>
  <c r="M70" i="11"/>
  <c r="C17" i="12" s="1"/>
  <c r="E66" i="11"/>
  <c r="F78" i="11"/>
  <c r="M78" i="11" s="1"/>
  <c r="C16" i="12" s="1"/>
  <c r="F78" i="10"/>
  <c r="M78" i="10" s="1"/>
  <c r="B16" i="12" s="1"/>
  <c r="F56" i="11"/>
  <c r="J14" i="12"/>
  <c r="J16" i="12" s="1"/>
  <c r="F66" i="10"/>
  <c r="M70" i="10"/>
  <c r="B17" i="12" s="1"/>
  <c r="E66" i="10"/>
  <c r="G66" i="10"/>
  <c r="G14" i="12"/>
  <c r="G16" i="12" s="1"/>
  <c r="F80" i="14"/>
  <c r="M93" i="11" l="1"/>
  <c r="E95" i="11"/>
  <c r="M95" i="11" s="1"/>
  <c r="C24" i="12" s="1"/>
  <c r="E62" i="10"/>
  <c r="M62" i="10" s="1"/>
  <c r="E62" i="11"/>
  <c r="M62" i="11" s="1"/>
  <c r="M56" i="11"/>
  <c r="E27" i="13"/>
  <c r="F87" i="14"/>
  <c r="F25" i="11"/>
  <c r="F15" i="11"/>
  <c r="F32" i="11"/>
  <c r="F18" i="11"/>
  <c r="M18" i="11" s="1"/>
  <c r="F23" i="11"/>
  <c r="M23" i="11" s="1"/>
  <c r="F20" i="11"/>
  <c r="G52" i="11"/>
  <c r="M52" i="11" s="1"/>
  <c r="C8" i="12" s="1"/>
  <c r="F19" i="11"/>
  <c r="F38" i="11"/>
  <c r="M38" i="11" s="1"/>
  <c r="F41" i="11"/>
  <c r="F40" i="11"/>
  <c r="F33" i="11"/>
  <c r="M33" i="11" s="1"/>
  <c r="F14" i="11"/>
  <c r="F46" i="11"/>
  <c r="F24" i="11"/>
  <c r="F17" i="11"/>
  <c r="F29" i="11"/>
  <c r="F37" i="11"/>
  <c r="F35" i="11"/>
  <c r="F30" i="11"/>
  <c r="F44" i="11"/>
  <c r="F27" i="11"/>
  <c r="M97" i="11"/>
  <c r="F34" i="11"/>
  <c r="F22" i="11"/>
  <c r="F45" i="11"/>
  <c r="F28" i="11"/>
  <c r="M28" i="11" s="1"/>
  <c r="F13" i="11"/>
  <c r="M13" i="11" s="1"/>
  <c r="F39" i="11"/>
  <c r="F43" i="11"/>
  <c r="F12" i="11"/>
  <c r="F44" i="10"/>
  <c r="F18" i="10"/>
  <c r="M18" i="10" s="1"/>
  <c r="F12" i="10"/>
  <c r="F41" i="10"/>
  <c r="F13" i="10"/>
  <c r="M13" i="10" s="1"/>
  <c r="F23" i="10"/>
  <c r="M23" i="10" s="1"/>
  <c r="F30" i="10"/>
  <c r="F45" i="10"/>
  <c r="F27" i="10"/>
  <c r="F19" i="10"/>
  <c r="F15" i="10"/>
  <c r="F40" i="10"/>
  <c r="F43" i="10"/>
  <c r="G52" i="10"/>
  <c r="M52" i="10" s="1"/>
  <c r="B8" i="12" s="1"/>
  <c r="F46" i="10"/>
  <c r="F35" i="10"/>
  <c r="F37" i="10"/>
  <c r="F22" i="10"/>
  <c r="F20" i="10"/>
  <c r="F28" i="10"/>
  <c r="M28" i="10" s="1"/>
  <c r="F29" i="10"/>
  <c r="F17" i="10"/>
  <c r="F38" i="10"/>
  <c r="M38" i="10" s="1"/>
  <c r="F25" i="10"/>
  <c r="F34" i="10"/>
  <c r="F39" i="10"/>
  <c r="F32" i="10"/>
  <c r="F14" i="10"/>
  <c r="F33" i="10"/>
  <c r="M33" i="10" s="1"/>
  <c r="F24" i="10"/>
  <c r="C23" i="12" l="1"/>
  <c r="F92" i="14"/>
  <c r="F88" i="14"/>
  <c r="F27" i="13"/>
  <c r="F89" i="14"/>
  <c r="F90" i="14"/>
  <c r="F91" i="14"/>
  <c r="C25" i="12"/>
  <c r="E63" i="11"/>
  <c r="M64" i="11" s="1"/>
  <c r="L13" i="11"/>
  <c r="H40" i="11"/>
  <c r="H39" i="11"/>
  <c r="L39" i="11" s="1"/>
  <c r="H41" i="11"/>
  <c r="L38" i="11"/>
  <c r="L23" i="11"/>
  <c r="L28" i="11"/>
  <c r="I24" i="11"/>
  <c r="L24" i="11" s="1"/>
  <c r="I14" i="11"/>
  <c r="L14" i="11" s="1"/>
  <c r="I45" i="11"/>
  <c r="I34" i="11"/>
  <c r="I19" i="11"/>
  <c r="L19" i="11" s="1"/>
  <c r="I40" i="11"/>
  <c r="I29" i="11"/>
  <c r="L33" i="11"/>
  <c r="L18" i="11"/>
  <c r="J25" i="11"/>
  <c r="J15" i="11"/>
  <c r="L15" i="11" s="1"/>
  <c r="J22" i="11"/>
  <c r="L22" i="11" s="1"/>
  <c r="J35" i="11"/>
  <c r="J12" i="11"/>
  <c r="O12" i="11" s="1"/>
  <c r="J20" i="11"/>
  <c r="L20" i="11" s="1"/>
  <c r="J46" i="11"/>
  <c r="J41" i="11"/>
  <c r="J43" i="11"/>
  <c r="J37" i="11"/>
  <c r="L37" i="11" s="1"/>
  <c r="J30" i="11"/>
  <c r="L30" i="11" s="1"/>
  <c r="J17" i="11"/>
  <c r="L17" i="11" s="1"/>
  <c r="J32" i="11"/>
  <c r="L32" i="11" s="1"/>
  <c r="J27" i="11"/>
  <c r="L27" i="11" s="1"/>
  <c r="K41" i="11"/>
  <c r="K33" i="11"/>
  <c r="K35" i="11"/>
  <c r="K34" i="11"/>
  <c r="K23" i="11"/>
  <c r="K45" i="11"/>
  <c r="K13" i="11"/>
  <c r="K39" i="11"/>
  <c r="K22" i="11"/>
  <c r="K37" i="11"/>
  <c r="K19" i="11"/>
  <c r="K12" i="11"/>
  <c r="K15" i="11"/>
  <c r="K46" i="11"/>
  <c r="K44" i="11"/>
  <c r="K17" i="11"/>
  <c r="K27" i="11"/>
  <c r="K38" i="11"/>
  <c r="K32" i="11"/>
  <c r="K29" i="11"/>
  <c r="K24" i="11"/>
  <c r="K20" i="11"/>
  <c r="K28" i="11"/>
  <c r="K43" i="11"/>
  <c r="K25" i="11"/>
  <c r="K18" i="11"/>
  <c r="K40" i="11"/>
  <c r="K30" i="11"/>
  <c r="K14" i="11"/>
  <c r="G45" i="11"/>
  <c r="G46" i="11"/>
  <c r="G44" i="11"/>
  <c r="G43" i="11"/>
  <c r="L13" i="10"/>
  <c r="G46" i="10"/>
  <c r="G45" i="10"/>
  <c r="G43" i="10"/>
  <c r="G44" i="10"/>
  <c r="L44" i="10" s="1"/>
  <c r="J20" i="10"/>
  <c r="L20" i="10" s="1"/>
  <c r="J15" i="10"/>
  <c r="L15" i="10" s="1"/>
  <c r="J30" i="10"/>
  <c r="L30" i="10" s="1"/>
  <c r="J12" i="10"/>
  <c r="L12" i="10" s="1"/>
  <c r="J43" i="10"/>
  <c r="J41" i="10"/>
  <c r="J22" i="10"/>
  <c r="L22" i="10" s="1"/>
  <c r="J37" i="10"/>
  <c r="L37" i="10" s="1"/>
  <c r="J35" i="10"/>
  <c r="J46" i="10"/>
  <c r="J17" i="10"/>
  <c r="J25" i="10"/>
  <c r="L25" i="10" s="1"/>
  <c r="J32" i="10"/>
  <c r="L32" i="10" s="1"/>
  <c r="J27" i="10"/>
  <c r="L27" i="10" s="1"/>
  <c r="I19" i="10"/>
  <c r="I45" i="10"/>
  <c r="E63" i="10"/>
  <c r="I14" i="10"/>
  <c r="L14" i="10" s="1"/>
  <c r="I29" i="10"/>
  <c r="L29" i="10" s="1"/>
  <c r="I40" i="10"/>
  <c r="I34" i="10"/>
  <c r="I24" i="10"/>
  <c r="L33" i="10"/>
  <c r="L28" i="10"/>
  <c r="H39" i="10"/>
  <c r="H41" i="10"/>
  <c r="H40" i="10"/>
  <c r="L38" i="10"/>
  <c r="K46" i="10"/>
  <c r="K14" i="10"/>
  <c r="K40" i="10"/>
  <c r="K37" i="10"/>
  <c r="K45" i="10"/>
  <c r="K12" i="10"/>
  <c r="K35" i="10"/>
  <c r="K20" i="10"/>
  <c r="K34" i="10"/>
  <c r="K41" i="10"/>
  <c r="K18" i="10"/>
  <c r="K28" i="10"/>
  <c r="K15" i="10"/>
  <c r="K22" i="10"/>
  <c r="K29" i="10"/>
  <c r="K23" i="10"/>
  <c r="K25" i="10"/>
  <c r="K43" i="10"/>
  <c r="K17" i="10"/>
  <c r="K44" i="10"/>
  <c r="K13" i="10"/>
  <c r="K27" i="10"/>
  <c r="K30" i="10"/>
  <c r="K39" i="10"/>
  <c r="K33" i="10"/>
  <c r="K24" i="10"/>
  <c r="K19" i="10"/>
  <c r="K32" i="10"/>
  <c r="K38" i="10"/>
  <c r="L23" i="10"/>
  <c r="L18" i="10"/>
  <c r="F10" i="13" l="1"/>
  <c r="G99" i="11"/>
  <c r="M99" i="11" s="1"/>
  <c r="G99" i="10"/>
  <c r="M99" i="10" s="1"/>
  <c r="B31" i="12" s="1"/>
  <c r="M66" i="11"/>
  <c r="C15" i="12" s="1"/>
  <c r="L40" i="11"/>
  <c r="M63" i="11"/>
  <c r="C14" i="12" s="1"/>
  <c r="M63" i="10"/>
  <c r="M64" i="10"/>
  <c r="L46" i="11"/>
  <c r="L41" i="11"/>
  <c r="L43" i="11"/>
  <c r="N44" i="11"/>
  <c r="O44" i="11"/>
  <c r="N32" i="11"/>
  <c r="O32" i="11"/>
  <c r="N12" i="11"/>
  <c r="M12" i="11" s="1"/>
  <c r="N25" i="11"/>
  <c r="O25" i="11"/>
  <c r="N34" i="11"/>
  <c r="O34" i="11"/>
  <c r="N24" i="11"/>
  <c r="O24" i="11"/>
  <c r="N39" i="11"/>
  <c r="O39" i="11"/>
  <c r="N17" i="11"/>
  <c r="O17" i="11"/>
  <c r="N35" i="11"/>
  <c r="O35" i="11"/>
  <c r="N29" i="11"/>
  <c r="O29" i="11"/>
  <c r="O40" i="11"/>
  <c r="N40" i="11"/>
  <c r="O46" i="11"/>
  <c r="N46" i="11"/>
  <c r="L46" i="10"/>
  <c r="N45" i="11"/>
  <c r="O45" i="11"/>
  <c r="L29" i="11"/>
  <c r="L44" i="11"/>
  <c r="N30" i="11"/>
  <c r="O30" i="11"/>
  <c r="N22" i="11"/>
  <c r="O22" i="11"/>
  <c r="L45" i="11"/>
  <c r="L25" i="11"/>
  <c r="L34" i="11"/>
  <c r="L12" i="11"/>
  <c r="L35" i="11"/>
  <c r="N43" i="11"/>
  <c r="O43" i="11"/>
  <c r="N27" i="11"/>
  <c r="O27" i="11"/>
  <c r="N37" i="11"/>
  <c r="O37" i="11"/>
  <c r="O20" i="11"/>
  <c r="N20" i="11"/>
  <c r="O15" i="11"/>
  <c r="N15" i="11"/>
  <c r="N19" i="11"/>
  <c r="O19" i="11"/>
  <c r="N14" i="11"/>
  <c r="O14" i="11"/>
  <c r="N41" i="11"/>
  <c r="O41" i="11"/>
  <c r="L40" i="10"/>
  <c r="L41" i="10"/>
  <c r="L43" i="10"/>
  <c r="L45" i="10"/>
  <c r="N17" i="10"/>
  <c r="O17" i="10"/>
  <c r="O24" i="10"/>
  <c r="N24" i="10"/>
  <c r="O14" i="10"/>
  <c r="N14" i="10"/>
  <c r="O27" i="10"/>
  <c r="N27" i="10"/>
  <c r="O15" i="10"/>
  <c r="N15" i="10"/>
  <c r="N46" i="10"/>
  <c r="O46" i="10"/>
  <c r="L17" i="10"/>
  <c r="O39" i="10"/>
  <c r="N39" i="10"/>
  <c r="N19" i="10"/>
  <c r="O19" i="10"/>
  <c r="L19" i="10"/>
  <c r="N40" i="10"/>
  <c r="O40" i="10"/>
  <c r="L39" i="10"/>
  <c r="O34" i="10"/>
  <c r="N34" i="10"/>
  <c r="N32" i="10"/>
  <c r="O32" i="10"/>
  <c r="O35" i="10"/>
  <c r="N35" i="10"/>
  <c r="O20" i="10"/>
  <c r="N20" i="10"/>
  <c r="O44" i="10"/>
  <c r="N44" i="10"/>
  <c r="N29" i="10"/>
  <c r="O29" i="10"/>
  <c r="O22" i="10"/>
  <c r="N22" i="10"/>
  <c r="N30" i="10"/>
  <c r="O30" i="10"/>
  <c r="O45" i="10"/>
  <c r="N45" i="10"/>
  <c r="O41" i="10"/>
  <c r="N41" i="10"/>
  <c r="N25" i="10"/>
  <c r="O25" i="10"/>
  <c r="N37" i="10"/>
  <c r="O37" i="10"/>
  <c r="O12" i="10"/>
  <c r="N12" i="10"/>
  <c r="N43" i="10"/>
  <c r="O43" i="10"/>
  <c r="L34" i="10"/>
  <c r="L35" i="10"/>
  <c r="L24" i="10"/>
  <c r="C31" i="12" l="1"/>
  <c r="M101" i="11"/>
  <c r="M20" i="11"/>
  <c r="M40" i="11"/>
  <c r="M15" i="10"/>
  <c r="M14" i="10"/>
  <c r="M15" i="11"/>
  <c r="M46" i="11"/>
  <c r="M22" i="11"/>
  <c r="M32" i="11"/>
  <c r="M17" i="11"/>
  <c r="M30" i="10"/>
  <c r="M29" i="10"/>
  <c r="M32" i="10"/>
  <c r="M19" i="10"/>
  <c r="M44" i="11"/>
  <c r="M24" i="11"/>
  <c r="M12" i="10"/>
  <c r="M45" i="10"/>
  <c r="M22" i="10"/>
  <c r="M35" i="10"/>
  <c r="M40" i="10"/>
  <c r="M46" i="10"/>
  <c r="M35" i="11"/>
  <c r="M39" i="11"/>
  <c r="M34" i="11"/>
  <c r="M43" i="11"/>
  <c r="M45" i="11"/>
  <c r="M37" i="11"/>
  <c r="M41" i="11"/>
  <c r="M29" i="11"/>
  <c r="M30" i="11"/>
  <c r="M27" i="11"/>
  <c r="M25" i="11"/>
  <c r="M19" i="11"/>
  <c r="M14" i="11"/>
  <c r="M43" i="10"/>
  <c r="M44" i="10"/>
  <c r="M37" i="10"/>
  <c r="B14" i="12"/>
  <c r="M25" i="10"/>
  <c r="M41" i="10"/>
  <c r="M20" i="10"/>
  <c r="M17" i="10"/>
  <c r="M27" i="10"/>
  <c r="M24" i="10"/>
  <c r="M34" i="10"/>
  <c r="M39" i="10"/>
  <c r="N47" i="11"/>
  <c r="O47" i="11"/>
  <c r="O47" i="10"/>
  <c r="N47" i="10"/>
  <c r="G54" i="10" l="1"/>
  <c r="M54" i="10" s="1"/>
  <c r="C7" i="12"/>
  <c r="B7" i="12"/>
  <c r="G54" i="11"/>
  <c r="E58" i="10" l="1"/>
  <c r="B9" i="12"/>
  <c r="M54" i="11"/>
  <c r="E58" i="11" s="1"/>
  <c r="E60" i="11" l="1"/>
  <c r="M60" i="11" s="1"/>
  <c r="C9" i="12"/>
  <c r="C11" i="12" s="1"/>
  <c r="M58" i="11" l="1"/>
  <c r="C12" i="12" s="1"/>
  <c r="C20" i="12" s="1"/>
  <c r="M80" i="11" l="1"/>
  <c r="M82" i="11" s="1"/>
  <c r="M86" i="11" l="1"/>
  <c r="M83" i="11"/>
  <c r="M87" i="11" s="1"/>
  <c r="M84" i="11"/>
  <c r="M110" i="11" l="1"/>
  <c r="M103" i="11"/>
  <c r="C21" i="12"/>
  <c r="C22" i="12" s="1"/>
  <c r="C39" i="12" s="1"/>
  <c r="M108" i="11"/>
  <c r="M85" i="11"/>
  <c r="M121" i="11" l="1"/>
  <c r="C26" i="12"/>
  <c r="C28" i="12"/>
  <c r="C36" i="12" s="1"/>
  <c r="C29" i="12" l="1"/>
  <c r="M97" i="10"/>
  <c r="B25" i="12" s="1"/>
  <c r="B11" i="12" l="1"/>
  <c r="B24" i="12" l="1"/>
  <c r="M101" i="10"/>
  <c r="E60" i="10"/>
  <c r="M60" i="10" s="1"/>
  <c r="M58" i="10"/>
  <c r="B23" i="12"/>
  <c r="B12" i="12" l="1"/>
  <c r="M66" i="10" l="1"/>
  <c r="M80" i="10" l="1"/>
  <c r="M82" i="10" s="1"/>
  <c r="M83" i="10" s="1"/>
  <c r="B15" i="12"/>
  <c r="B20" i="12" s="1"/>
  <c r="M87" i="10" l="1"/>
  <c r="M86" i="10"/>
  <c r="M84" i="10"/>
  <c r="M103" i="10" l="1"/>
  <c r="M110" i="10"/>
  <c r="B21" i="12"/>
  <c r="B22" i="12" s="1"/>
  <c r="D8" i="13" s="1"/>
  <c r="M85" i="10"/>
  <c r="M108" i="10"/>
  <c r="M121" i="10" l="1"/>
  <c r="B26" i="12"/>
  <c r="B28" i="12"/>
  <c r="B36" i="12" s="1"/>
  <c r="B39" i="12"/>
  <c r="F9" i="13"/>
  <c r="F11" i="13" s="1"/>
  <c r="M89" i="10"/>
  <c r="M90" i="10" s="1"/>
  <c r="M104" i="10" s="1"/>
  <c r="M89" i="11"/>
  <c r="M90" i="11" s="1"/>
  <c r="M104" i="11" s="1"/>
  <c r="B29" i="12" l="1"/>
  <c r="C30" i="12"/>
  <c r="C32" i="12" s="1"/>
  <c r="C34" i="12" s="1"/>
  <c r="M123" i="11"/>
  <c r="B30" i="12"/>
  <c r="M123" i="10"/>
  <c r="B32" i="12" l="1"/>
  <c r="B34" i="12" s="1"/>
  <c r="B38" i="12" s="1"/>
  <c r="C38" i="12"/>
  <c r="C35" i="12"/>
  <c r="B35" i="12" l="1"/>
</calcChain>
</file>

<file path=xl/sharedStrings.xml><?xml version="1.0" encoding="utf-8"?>
<sst xmlns="http://schemas.openxmlformats.org/spreadsheetml/2006/main" count="934" uniqueCount="453">
  <si>
    <t>Timer pr. uge</t>
  </si>
  <si>
    <t>Kr. pr. time</t>
  </si>
  <si>
    <t>ATP</t>
  </si>
  <si>
    <t>Kommune:</t>
  </si>
  <si>
    <t>Borger:</t>
  </si>
  <si>
    <t>Aktuelle lønsatser pr.</t>
  </si>
  <si>
    <t>Søn- hell. Dage</t>
  </si>
  <si>
    <t>Lørdags-godtgør</t>
  </si>
  <si>
    <t>Forskudt tid aften</t>
  </si>
  <si>
    <t>Forskudt tid nat</t>
  </si>
  <si>
    <t>Tidsrum</t>
  </si>
  <si>
    <t>Timeløn</t>
  </si>
  <si>
    <t>Søn-hell</t>
  </si>
  <si>
    <t>Forskudt aften</t>
  </si>
  <si>
    <t>Forskudt nat</t>
  </si>
  <si>
    <t>Timeløn rådighed</t>
  </si>
  <si>
    <t>Beløb</t>
  </si>
  <si>
    <t>Mandag</t>
  </si>
  <si>
    <t>Kl. 0-6</t>
  </si>
  <si>
    <t xml:space="preserve"> </t>
  </si>
  <si>
    <t>Kl. 6-17</t>
  </si>
  <si>
    <t>Kl. 17-23</t>
  </si>
  <si>
    <t>Kl. 23-0</t>
  </si>
  <si>
    <t>Tirsdag</t>
  </si>
  <si>
    <t>Onsdag</t>
  </si>
  <si>
    <t>Torsdag</t>
  </si>
  <si>
    <t>Fredag</t>
  </si>
  <si>
    <t>Lørdag</t>
  </si>
  <si>
    <t>Søndag</t>
  </si>
  <si>
    <t>Timer/dag</t>
  </si>
  <si>
    <t>Helligd.</t>
  </si>
  <si>
    <t>Pr. uge</t>
  </si>
  <si>
    <t>Ansatte</t>
  </si>
  <si>
    <t>Timer/år/ansat</t>
  </si>
  <si>
    <t>Kvalifikationstill. (eks. respiration)</t>
  </si>
  <si>
    <t>Feriepenge</t>
  </si>
  <si>
    <t>Lønkr. pr. uge</t>
  </si>
  <si>
    <t>Ferie/fridage</t>
  </si>
  <si>
    <t>Arbejdsgiver tilskud</t>
  </si>
  <si>
    <t>Pension</t>
  </si>
  <si>
    <t>Pension af tillæg (aften/nat)</t>
  </si>
  <si>
    <t>AES</t>
  </si>
  <si>
    <t>DA/LO uddannelsesfond</t>
  </si>
  <si>
    <t>Samlet ugentligt netto lønforbrug</t>
  </si>
  <si>
    <t>Gennemsnitlig årlige forbrug. Uden rummelighed</t>
  </si>
  <si>
    <t>Gennemsnitlig årlige forbrug. Med rummelighed</t>
  </si>
  <si>
    <t>AUB</t>
  </si>
  <si>
    <t>Rådighed</t>
  </si>
  <si>
    <t>Gennemsnitlige timepris Uden rummelighed</t>
  </si>
  <si>
    <t>Puljetimer pr år</t>
  </si>
  <si>
    <t>Pr år</t>
  </si>
  <si>
    <t>kr pr fuldtidsmedarbejder</t>
  </si>
  <si>
    <t>Pr kvartal</t>
  </si>
  <si>
    <t>Bevillingstimer i alt</t>
  </si>
  <si>
    <t>Pr måned</t>
  </si>
  <si>
    <t>pr fuldtidmedarbejder</t>
  </si>
  <si>
    <t xml:space="preserve">Arbejdstimer </t>
  </si>
  <si>
    <t>Fuldtidsmedarbejdere</t>
  </si>
  <si>
    <t>kr i samlet bevilling</t>
  </si>
  <si>
    <t>Enheder/tekst</t>
  </si>
  <si>
    <t>Stk. i bevillingen</t>
  </si>
  <si>
    <t>Antal timer</t>
  </si>
  <si>
    <t>Gennemsnitlige månedlige forbrug. Uden rummelighed</t>
  </si>
  <si>
    <t>Gennemsnitlige månedlige forbrug. Med rummelighed</t>
  </si>
  <si>
    <t>I %</t>
  </si>
  <si>
    <t>Gennemsnitlig timepris Med rummelighed</t>
  </si>
  <si>
    <t>Norm timer pr uge</t>
  </si>
  <si>
    <t>Timeløn Norm timer</t>
  </si>
  <si>
    <t>Timer rådighed pr uge</t>
  </si>
  <si>
    <t>Kl. 6-08</t>
  </si>
  <si>
    <t>Kl. 08-17</t>
  </si>
  <si>
    <r>
      <t>Tillæg søgnehelligdage</t>
    </r>
    <r>
      <rPr>
        <b/>
        <vertAlign val="superscript"/>
        <sz val="9"/>
        <rFont val="Verdana"/>
        <family val="2"/>
      </rPr>
      <t>1</t>
    </r>
  </si>
  <si>
    <t xml:space="preserve">Årets alm. helligdage: </t>
  </si>
  <si>
    <t xml:space="preserve">Særlige helligdage: </t>
  </si>
  <si>
    <t>Juleaftensdag hele dagen. 1.maj, grundlovsdag og nytårsaftensdag fra kl. 12.00 til 24.00, 1,5 dage samlet for de 3.</t>
  </si>
  <si>
    <t xml:space="preserve">Helligdage i alt: </t>
  </si>
  <si>
    <t>AKUT</t>
  </si>
  <si>
    <t>AUA</t>
  </si>
  <si>
    <t>Årligt gennemsnit</t>
  </si>
  <si>
    <t>AFU</t>
  </si>
  <si>
    <t>AES+AFU</t>
  </si>
  <si>
    <t>Andre udgifter efter regning</t>
  </si>
  <si>
    <t>kr/time</t>
  </si>
  <si>
    <t>Forsikring</t>
  </si>
  <si>
    <t>Pr. år</t>
  </si>
  <si>
    <t>Tillæg puljetimer årlige</t>
  </si>
  <si>
    <t>Tillæg norm timer ugentlige</t>
  </si>
  <si>
    <t>Pr. time</t>
  </si>
  <si>
    <t>Kr pr fuldtidmedarbejder</t>
  </si>
  <si>
    <t>Oplæringstimer</t>
  </si>
  <si>
    <t>Løse timer (P-møde, mus)</t>
  </si>
  <si>
    <t>Timer pr år</t>
  </si>
  <si>
    <t>A conto sygdom</t>
  </si>
  <si>
    <t>Sygdomsprocent</t>
  </si>
  <si>
    <t>Årlige udgifter</t>
  </si>
  <si>
    <t>Kompetencefond og "Fra ufaglært til faglært"</t>
  </si>
  <si>
    <t>Pension af tillæg (Weekend/helligdags)</t>
  </si>
  <si>
    <t>Barnets sygedag</t>
  </si>
  <si>
    <t>SPARK og tryghedspuljen</t>
  </si>
  <si>
    <t>Budget ved beregning af tilskud efter servicelovens §§95 og 96.</t>
  </si>
  <si>
    <t>Bemærkninger</t>
  </si>
  <si>
    <t>Grundløn</t>
  </si>
  <si>
    <t>Særtillæg</t>
  </si>
  <si>
    <t>S/H</t>
  </si>
  <si>
    <t>Grundløn samt tillæg i alt</t>
  </si>
  <si>
    <t>Ferie</t>
  </si>
  <si>
    <t>Lovpligtige bidrag</t>
  </si>
  <si>
    <t>Uddannelsesbidrag</t>
  </si>
  <si>
    <t>Barselsfond</t>
  </si>
  <si>
    <t xml:space="preserve">Sygdom </t>
  </si>
  <si>
    <t>APV hjælper timer</t>
  </si>
  <si>
    <t>Efter regning</t>
  </si>
  <si>
    <t>Personaletimer</t>
  </si>
  <si>
    <t>Personalemøder og MUS</t>
  </si>
  <si>
    <t>Praktikplads AUB</t>
  </si>
  <si>
    <t>Særlige tillæg til timeløn, aften-, nat-, lørdags- og søndagstillæg</t>
  </si>
  <si>
    <t>Ferie jf. ferielov evt. inkl. 6. ferie, hvis det gives</t>
  </si>
  <si>
    <t>ATP, AES, AUB, AFU evt. FIB</t>
  </si>
  <si>
    <t>Kr pr km</t>
  </si>
  <si>
    <t>Antal km</t>
  </si>
  <si>
    <t>Kørsel til APV sted. Kilometer</t>
  </si>
  <si>
    <t>Kr pr time</t>
  </si>
  <si>
    <t>Kørsel til APV sted. Tid</t>
  </si>
  <si>
    <t>Lønadministration</t>
  </si>
  <si>
    <t xml:space="preserve">Beregning af Administrationsbidrag </t>
  </si>
  <si>
    <t>Tilskud til arbejdsgiveropgaver (overheadprocent)</t>
  </si>
  <si>
    <t xml:space="preserve">Baggrund for beregning af lønadministration pr. hjælper </t>
  </si>
  <si>
    <t>Beregning til forklaring af antal hjælpere i en gennemsnitsordning</t>
  </si>
  <si>
    <t xml:space="preserve">Med udgangspunkt i erfaring og det forhold, at borgeren har ansvaret for at have tilstrækkeligt med hjælpere </t>
  </si>
  <si>
    <t xml:space="preserve"> i nedenstående model. Modellen har vist sig retvisende som gennemsnitsbetragtning. </t>
  </si>
  <si>
    <t xml:space="preserve">MODEL </t>
  </si>
  <si>
    <t xml:space="preserve">Metode </t>
  </si>
  <si>
    <t xml:space="preserve">Faste hjælpere </t>
  </si>
  <si>
    <t xml:space="preserve">Afløsere/vikar </t>
  </si>
  <si>
    <t>Total hjælper tilknytning i team</t>
  </si>
  <si>
    <t>under 20</t>
  </si>
  <si>
    <t xml:space="preserve">Erfaringsbaseret </t>
  </si>
  <si>
    <t>20-40</t>
  </si>
  <si>
    <t>40-72</t>
  </si>
  <si>
    <t>73+</t>
  </si>
  <si>
    <t xml:space="preserve">"antal timer / 24 + 1 vikar pr. påbegyndt 4 hjælpere" </t>
  </si>
  <si>
    <t xml:space="preserve">beregnet </t>
  </si>
  <si>
    <t>Personaleomsætning beregnet som 30 % inkl. vikar - afrundet efter normale principper</t>
  </si>
  <si>
    <t xml:space="preserve">Beregning af Lønadministrationstakst </t>
  </si>
  <si>
    <t>Kilde for satser:</t>
  </si>
  <si>
    <t>Administration arbejdsgiver</t>
  </si>
  <si>
    <t>Inkl. Administration</t>
  </si>
  <si>
    <t>Administration arbejdsgiver månedlig</t>
  </si>
  <si>
    <t>Udgifter efter regning til a conto</t>
  </si>
  <si>
    <t>Samlet udgifter efter regning til a conto</t>
  </si>
  <si>
    <t>Månedlig LØN samt udgifter efter regning til a conto</t>
  </si>
  <si>
    <t>Månedlig ADM til a conto</t>
  </si>
  <si>
    <t>Samlet andre udgifter efter regning</t>
  </si>
  <si>
    <t>Inkl. udgifter efter regning til a conto</t>
  </si>
  <si>
    <t>Inkl andre udg. efter regning</t>
  </si>
  <si>
    <t xml:space="preserve">Efter regning. </t>
  </si>
  <si>
    <t>Sats</t>
  </si>
  <si>
    <t>Antal gange/år</t>
  </si>
  <si>
    <t>Timer/vagt</t>
  </si>
  <si>
    <t>Vederlag ved tilkald i rådighedstjeneste</t>
  </si>
  <si>
    <t>Antal dage/år</t>
  </si>
  <si>
    <t>Ud over vederlag ved tilkald i rådighedstjeneste gives der for den pågældende time sædvanlig løn. Dvs. der er ekstraudgifter ved difference fra rådighedssats til grundløn + eventuelle manglende nat- samt weekendtillæg</t>
  </si>
  <si>
    <t>Vederlag forbliven i tjenesten+ ved AKUT-tilkald</t>
  </si>
  <si>
    <t>Timetabel</t>
  </si>
  <si>
    <t>Type af timer</t>
  </si>
  <si>
    <t>Normtimer</t>
  </si>
  <si>
    <t>Heraf rådighedstimer</t>
  </si>
  <si>
    <t>Puljetimer</t>
  </si>
  <si>
    <t>APV timer</t>
  </si>
  <si>
    <t>Samlet timer årligt</t>
  </si>
  <si>
    <t>Løn inkl. rum gennemsnitlig timepris</t>
  </si>
  <si>
    <t>KL's anbefaling 3,5%</t>
  </si>
  <si>
    <t>Budget beløb i alt til a conto månedligt</t>
  </si>
  <si>
    <t>Heraf Sygdom efter regning</t>
  </si>
  <si>
    <t>Heraf APV udgift efter regning</t>
  </si>
  <si>
    <t>Budget beløb i alt pr måned</t>
  </si>
  <si>
    <t>Løn puljetimer og rådighedstimer er inkl. her.</t>
  </si>
  <si>
    <t>Fuldtidsansatte</t>
  </si>
  <si>
    <t>Sats årligt</t>
  </si>
  <si>
    <t>Årligt</t>
  </si>
  <si>
    <t>Beregnet på baggrund af stedtillæg =</t>
  </si>
  <si>
    <t xml:space="preserve">Stedtillæg: </t>
  </si>
  <si>
    <t>Enhed</t>
  </si>
  <si>
    <t>Kr pr enhed</t>
  </si>
  <si>
    <t>Timer</t>
  </si>
  <si>
    <t>Km</t>
  </si>
  <si>
    <t xml:space="preserve">Forsikring: </t>
  </si>
  <si>
    <t>Pensionssatser</t>
  </si>
  <si>
    <t>Pension Grundløn</t>
  </si>
  <si>
    <t>Aftentillæg</t>
  </si>
  <si>
    <t>Nattillæg</t>
  </si>
  <si>
    <t>Lørdagstillæg</t>
  </si>
  <si>
    <t>Søndagstillæg</t>
  </si>
  <si>
    <t>Helligdagstillæg</t>
  </si>
  <si>
    <t>Rådighedsandel</t>
  </si>
  <si>
    <t>Sats/andel</t>
  </si>
  <si>
    <t>Vederlag ved Forbliven i tjenesten</t>
  </si>
  <si>
    <t>Andel pr påbegyndt time</t>
  </si>
  <si>
    <t>DA/LO:</t>
  </si>
  <si>
    <t>1) Helligdage:</t>
  </si>
  <si>
    <t>Feriepenge:</t>
  </si>
  <si>
    <t>Pension:</t>
  </si>
  <si>
    <t>Særtillæg:</t>
  </si>
  <si>
    <t>ATP, AUB, AES, AFU</t>
  </si>
  <si>
    <t>2) Udgifter ved tilkald i rådighedstjeneste:</t>
  </si>
  <si>
    <t>AKUT, AUA og Kompetencefond</t>
  </si>
  <si>
    <t>Vederlag ved Tilkald i Rådighedstjeneste</t>
  </si>
  <si>
    <t>Vederlag ved AKUT tilkald:</t>
  </si>
  <si>
    <t>Barselsfond:</t>
  </si>
  <si>
    <t>Lovpligtige bidrag mm.</t>
  </si>
  <si>
    <t>Andel for timen</t>
  </si>
  <si>
    <t>Overenskomstbestemte satser</t>
  </si>
  <si>
    <t xml:space="preserve"> Forhøjet pensionssats</t>
  </si>
  <si>
    <t>Kr. pr time</t>
  </si>
  <si>
    <t>Lovbestemste satser</t>
  </si>
  <si>
    <t>SOSU-overenskomst</t>
  </si>
  <si>
    <t>* Rummelighed dækker eksempelvis anciennitet, overenskomstmæssige stigninger i løbet af året, eventuelle ekstra særtillæg ved omrokering af timerne til dyrere timer i et mindre omfang.</t>
  </si>
  <si>
    <t>Udgift APV ekstern konsulent</t>
  </si>
  <si>
    <t>Statens takst</t>
  </si>
  <si>
    <t>Andre satser</t>
  </si>
  <si>
    <t>Søn- hell. dage</t>
  </si>
  <si>
    <t>Timepris</t>
  </si>
  <si>
    <t>Der regnes altid tillæg pr halve time</t>
  </si>
  <si>
    <t>Løse timer (P-møde, MUS)</t>
  </si>
  <si>
    <t>Timer/tilkald</t>
  </si>
  <si>
    <t>Feriefridage - gives denne?</t>
  </si>
  <si>
    <t>Gennemsnitlige timepris. Uden rummelighed</t>
  </si>
  <si>
    <t>Gennemsnitlig timepris. Med rummelighed</t>
  </si>
  <si>
    <t>Hjælpertimer til APV, inklusiv sociale bidrag</t>
  </si>
  <si>
    <t>Generel pris- og lønstigning, pct.</t>
  </si>
  <si>
    <t>Fraværsprocent</t>
  </si>
  <si>
    <t>Udgift ekstern APV konsulent</t>
  </si>
  <si>
    <t>Når der aflønnes efter SOSU-overenskomt</t>
  </si>
  <si>
    <t>Pension - almindelig eller forhøjet sats?</t>
  </si>
  <si>
    <t>Almindelig pensionsats</t>
  </si>
  <si>
    <t>Hjælpertimer til APV, inkl. sociale bidrag</t>
  </si>
  <si>
    <t>3) Rådighedstillæg</t>
  </si>
  <si>
    <t>I SOSU-overenskomstens arbejdstidsaftale 79.01 §14 gives ikke rådighedstimer fra vagtværelse, kun fra hjælpers egen bopæl, disse afregnes med 1/3 grundløn inkl. evt. kvalifikation. Rådighedstimer fra vagtværelse kan kun gives jf. BPA-HHOK §18, disse afregnes i så fald med 3/4 grundløn inkl. evt. kvalifikation.</t>
  </si>
  <si>
    <t>Resultatet er, at enten kan SOSU-kommuner ikke udmåle rådighedstimer eller også accepteres, at de udmåler jf. BPA-HHOK på dette punkt. Derfor er rådighed her regnet som 3/4.</t>
  </si>
  <si>
    <t>Oversigtsark til kommunens budgetlægning</t>
  </si>
  <si>
    <t>SOSU beregning</t>
  </si>
  <si>
    <t>SOSU-OK</t>
  </si>
  <si>
    <t>Pension jf. overenskomst.</t>
  </si>
  <si>
    <t>Løn inkl. rummelighed</t>
  </si>
  <si>
    <t>Ekskl. rummelighed</t>
  </si>
  <si>
    <t>APV udgift til ekstern konsulent</t>
  </si>
  <si>
    <t xml:space="preserve">Efter regning  </t>
  </si>
  <si>
    <t>Månedlig beløb i alt til a conto inkl. administration og ekskl. sygdom og APV udgift</t>
  </si>
  <si>
    <t>Lønadministration pr. hjælper</t>
  </si>
  <si>
    <t>Årligt tilskud</t>
  </si>
  <si>
    <t>Tilskud i alt</t>
  </si>
  <si>
    <t>Samlet udmåling - vælg overenskomst</t>
  </si>
  <si>
    <r>
      <t>Jf. KL's notat "</t>
    </r>
    <r>
      <rPr>
        <b/>
        <i/>
        <sz val="8"/>
        <color theme="1"/>
        <rFont val="Verdana"/>
        <family val="2"/>
      </rPr>
      <t>Beregning af tilskud til borgerstyret personlig assistance (BPA)</t>
    </r>
    <r>
      <rPr>
        <sz val="8"/>
        <rFont val="Verdana"/>
        <family val="2"/>
      </rPr>
      <t>" afsnit 3.4 fra oktober 2010: "</t>
    </r>
    <r>
      <rPr>
        <i/>
        <sz val="8"/>
        <color theme="1"/>
        <rFont val="Verdana"/>
        <family val="2"/>
      </rPr>
      <t>Model 2: Overheadberegning af tilskud til arbejdsgiveropgaven Kommunen kan beregne tilskuddet til arbejdsgiveropgaven som en fast overhead-procent af tilskuddet til BPA. "</t>
    </r>
  </si>
  <si>
    <r>
      <t>KREVI – Det Kommunale og Regionale Evalueringsinstitut udgav i februar 2011 analysen; ”</t>
    </r>
    <r>
      <rPr>
        <b/>
        <sz val="8"/>
        <color theme="1"/>
        <rFont val="Verdana"/>
        <family val="2"/>
      </rPr>
      <t>Sammenligning af kommunernes administration: To metoder – to resultater</t>
    </r>
    <r>
      <rPr>
        <sz val="8"/>
        <rFont val="Verdana"/>
        <family val="2"/>
      </rPr>
      <t>”.  Af denne analyse fremgår, at ”</t>
    </r>
    <r>
      <rPr>
        <i/>
        <sz val="8"/>
        <color theme="1"/>
        <rFont val="Verdana"/>
        <family val="2"/>
      </rPr>
      <t>på landsplan udgør administrationsudgifter 8,7 % af nettodriftsudgifterne opgjort ud fra regnskabsdata og 9,2 %, hvis vi opgør det med målet for personaledata.</t>
    </r>
    <r>
      <rPr>
        <sz val="8"/>
        <rFont val="Verdana"/>
        <family val="2"/>
      </rPr>
      <t xml:space="preserve">” (p. 16). 
</t>
    </r>
  </si>
  <si>
    <r>
      <t>Jf. KL's notat "</t>
    </r>
    <r>
      <rPr>
        <b/>
        <i/>
        <sz val="8"/>
        <color theme="1"/>
        <rFont val="Verdana"/>
        <family val="2"/>
      </rPr>
      <t>Beregning af tilskud til borgerstyret personlig assistance (BPA)</t>
    </r>
    <r>
      <rPr>
        <sz val="8"/>
        <rFont val="Verdana"/>
        <family val="2"/>
      </rPr>
      <t>" afsnit 3.5 fra oktober 2010: "</t>
    </r>
    <r>
      <rPr>
        <i/>
        <sz val="8"/>
        <color theme="1"/>
        <rFont val="Verdana"/>
        <family val="2"/>
      </rPr>
      <t>Såfremt tilskud til arbejdsgiveropgaven overføres til en forening eller privat virksomhed, er det forudsat at der for BPA-ordninger efter § 96 udmåles 1.643 kr. (2009-priser) årligt pr. hjælper til lønadministration. Dette kommer ud over udmåling til varetagelse af øvrige arbejdsgiveropgaver, jf. afsnit 3.4 ovenfor.</t>
    </r>
    <r>
      <rPr>
        <sz val="8"/>
        <rFont val="Verdana"/>
        <family val="2"/>
      </rPr>
      <t>"</t>
    </r>
  </si>
  <si>
    <t>Ugentlige timer  i ordning</t>
  </si>
  <si>
    <t xml:space="preserve">Personale-omsætning </t>
  </si>
  <si>
    <t xml:space="preserve">Ugentlige timer </t>
  </si>
  <si>
    <t>Beregning af administrationsbidrag</t>
  </si>
  <si>
    <t>Forudsætninger fra overenskomster og lovgivning</t>
  </si>
  <si>
    <t>beregnet</t>
  </si>
  <si>
    <t xml:space="preserve">Årsfremskrivning </t>
  </si>
  <si>
    <t>OBS: Indtast/vælg egne værdier i de BLÅ FELTER</t>
  </si>
  <si>
    <r>
      <t>Rådighed</t>
    </r>
    <r>
      <rPr>
        <vertAlign val="superscript"/>
        <sz val="8"/>
        <rFont val="Verdana"/>
        <family val="2"/>
      </rPr>
      <t>3</t>
    </r>
  </si>
  <si>
    <t>APV priser</t>
  </si>
  <si>
    <t>Rummelighed</t>
  </si>
  <si>
    <t>Administration arbejdsgiver årlig, overheadprocent</t>
  </si>
  <si>
    <t>Antal fuldtidsansatte</t>
  </si>
  <si>
    <t>Vederlag ved forbliven i tjenesten, jf. arb.tidsaftale 79.01 §11, stk 5</t>
  </si>
  <si>
    <t>Vederlag ved AKUT-tilkald, jf. arb.tidsaftale 79.01 §9, stk. 2.</t>
  </si>
  <si>
    <r>
      <t>Vederlag ved tilkald i rådighedstjeneste</t>
    </r>
    <r>
      <rPr>
        <b/>
        <vertAlign val="superscript"/>
        <sz val="8"/>
        <rFont val="Verdana"/>
        <family val="2"/>
      </rPr>
      <t>2</t>
    </r>
    <r>
      <rPr>
        <b/>
        <sz val="8"/>
        <rFont val="Verdana"/>
        <family val="2"/>
      </rPr>
      <t>, jf. arb.tidsaftale 79.01 §14,stk. 2</t>
    </r>
  </si>
  <si>
    <t>Lønmodtagernes Feriemidler – administrationsbidrag</t>
  </si>
  <si>
    <t>Lønmodtagernes Feriemidler</t>
  </si>
  <si>
    <t>ansat i ordningen til at sikre vikardækning, så anbefaler branchen borgerne at ansætte hjælpere med udgangspunkt</t>
  </si>
  <si>
    <t>Budget periode</t>
  </si>
  <si>
    <t>Fra dato</t>
  </si>
  <si>
    <t>Til dato</t>
  </si>
  <si>
    <t>Periodemæssig udgift i alt til budget</t>
  </si>
  <si>
    <t>Antal uger i periode</t>
  </si>
  <si>
    <t>Antal uger fra starttidspunkt og et år frem</t>
  </si>
  <si>
    <t>Antal timer pr periode</t>
  </si>
  <si>
    <t>Laves APV</t>
  </si>
  <si>
    <t>Beregnet på baggrund af antal uger i periode.</t>
  </si>
  <si>
    <t>Budget beløb i alt periodemæssigt</t>
  </si>
  <si>
    <t>på Dansk Erhvervs hjemmeside til at beregne overheadprocenten præcist svarende til de konkrete forhold.</t>
  </si>
  <si>
    <r>
      <t xml:space="preserve">Brug beregneren </t>
    </r>
    <r>
      <rPr>
        <i/>
        <u/>
        <sz val="8"/>
        <color theme="10"/>
        <rFont val="Verdana"/>
        <family val="2"/>
      </rPr>
      <t xml:space="preserve">"Beregning af administrationsbidrag BPA" </t>
    </r>
  </si>
  <si>
    <t>Vælg</t>
  </si>
  <si>
    <t>Hjælp til at fastsætte overheadprocent.</t>
  </si>
  <si>
    <t>Administrationsbidrag</t>
  </si>
  <si>
    <t>Antal timer/periode</t>
  </si>
  <si>
    <t>BPA-HHOK</t>
  </si>
  <si>
    <t>BPA-Handicaphjælper-overenskomst</t>
  </si>
  <si>
    <t>Når der aflønnes efter BPA-Handicaphjælper-overenskomst</t>
  </si>
  <si>
    <t>Vederlag ved forbliven i tjenesten, jf. BPA-HHOK §7, stk. 5</t>
  </si>
  <si>
    <t>Vederlag ved AKUT-tilkald, jf. BPA-HHOK §7, stk. 6</t>
  </si>
  <si>
    <r>
      <t>Vederlag ved tilkald i rådighedstjeneste</t>
    </r>
    <r>
      <rPr>
        <b/>
        <vertAlign val="superscript"/>
        <sz val="8"/>
        <rFont val="Verdana"/>
        <family val="2"/>
      </rPr>
      <t>2</t>
    </r>
    <r>
      <rPr>
        <b/>
        <sz val="8"/>
        <rFont val="Verdana"/>
        <family val="2"/>
      </rPr>
      <t>, jf. BPA-HHOK §18</t>
    </r>
  </si>
  <si>
    <t>BPA-HH beregning</t>
  </si>
  <si>
    <t>9 helligdage ved BPA-HHOK og ved SOSU-OK 11,5 dage inkl. særlige fridage</t>
  </si>
  <si>
    <t>BPA-HHOK: DA/LO. SOSU-OK: AKUT-bidrag</t>
  </si>
  <si>
    <t xml:space="preserve">OBS: Indtast/vælg egne værdier i de BLÅ FELTER i de 4 første ark. </t>
  </si>
  <si>
    <t>Få overblikket i det sidste ark "Budgetark"</t>
  </si>
  <si>
    <t>Kr pr ansat</t>
  </si>
  <si>
    <t>Lønadministration (hvis 0 kr., så er omkostningen beregnet i særskilt beregner)</t>
  </si>
  <si>
    <r>
      <t xml:space="preserve">Lønadministration - anvendes detaljeret beregner eller overhead? </t>
    </r>
    <r>
      <rPr>
        <b/>
        <vertAlign val="superscript"/>
        <sz val="8"/>
        <rFont val="Verdana"/>
        <family val="2"/>
      </rPr>
      <t>3</t>
    </r>
  </si>
  <si>
    <t>Ved beregning af tilskud til administrationsudgifter med den særkskilte detaljerede beregningsmodel udarbejdet af DE, i stedet for benyttelse af overheadmodel til beregning af administrationshonorar, medtages lønadministration ikke i ovenstående, i det lønadministration i stedet er medtaget i beregningsmodellen for administrationsudgifter.</t>
  </si>
  <si>
    <t>4) Model for administrationshonorar:</t>
  </si>
  <si>
    <t>3) Model for administrationshonorar:</t>
  </si>
  <si>
    <r>
      <t xml:space="preserve">Lønadministration - anvendes detaljeret beregner eller overhead? </t>
    </r>
    <r>
      <rPr>
        <b/>
        <vertAlign val="superscript"/>
        <sz val="8"/>
        <rFont val="Verdana"/>
        <family val="2"/>
      </rPr>
      <t>4</t>
    </r>
  </si>
  <si>
    <t>3)</t>
  </si>
  <si>
    <t>Kommunenavn</t>
  </si>
  <si>
    <t>Område nr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</si>
  <si>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</si>
  <si>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</si>
  <si>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</si>
  <si>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</si>
  <si>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</si>
  <si>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</si>
  <si>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</si>
  <si>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</si>
  <si>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Christiansø</t>
  </si>
  <si>
    <t>Dragør</t>
  </si>
  <si>
    <t>Egedal</t>
  </si>
  <si>
    <t>Esbjerg</t>
  </si>
  <si>
    <t>Fanø</t>
  </si>
  <si>
    <t>Selvvalgt fra kommunens side, reelt 0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</si>
  <si>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</si>
  <si>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</si>
  <si>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</si>
  <si>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</si>
  <si>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</si>
  <si>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</si>
  <si>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</si>
  <si>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</si>
  <si>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</si>
  <si>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</si>
  <si>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</si>
  <si>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</si>
  <si>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</si>
  <si>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</si>
  <si>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</si>
  <si>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</si>
  <si>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</si>
  <si>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</si>
  <si>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</si>
  <si>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</si>
  <si>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</si>
  <si>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</si>
  <si>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</si>
  <si>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</si>
  <si>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</si>
  <si>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</si>
  <si>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</si>
  <si>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</si>
  <si>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</si>
  <si>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</si>
  <si>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</si>
  <si>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</si>
  <si>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</si>
  <si>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</si>
  <si>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</si>
  <si>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</si>
  <si>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</si>
  <si>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</si>
  <si>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</si>
  <si>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</si>
  <si>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</si>
  <si>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</si>
  <si>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</si>
  <si>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</si>
  <si>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</si>
  <si>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</si>
  <si>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</si>
  <si>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</si>
  <si>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</si>
  <si>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</si>
  <si>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</si>
  <si>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</si>
  <si>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</si>
  <si>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</si>
  <si>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</si>
  <si>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</si>
  <si>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</si>
  <si>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</si>
  <si>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</si>
  <si>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</si>
  <si>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</si>
  <si>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</si>
  <si>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</si>
  <si>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</si>
  <si>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</si>
  <si>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</si>
  <si>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</si>
  <si>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</si>
  <si>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</si>
  <si>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</si>
  <si>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</si>
  <si>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</si>
  <si>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</si>
  <si>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</si>
  <si>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</si>
  <si>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</si>
  <si>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</si>
  <si>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</si>
  <si>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</si>
  <si>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</si>
  <si>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</si>
  <si>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Vælg kommune her</t>
  </si>
  <si>
    <t>Ærø</t>
  </si>
  <si>
    <t>Aabenraa</t>
  </si>
  <si>
    <t>Aalborg</t>
  </si>
  <si>
    <t>Aarhus</t>
  </si>
  <si>
    <t>Lønsatser timelønninger</t>
  </si>
  <si>
    <t>Løntrin</t>
  </si>
  <si>
    <t>Handicaphjælper grundløn</t>
  </si>
  <si>
    <t>Handicaphjælper 3 års anciennitet</t>
  </si>
  <si>
    <t>Pr</t>
  </si>
  <si>
    <t>Stedtillæg</t>
  </si>
  <si>
    <t>Handicaphjælper med SSH</t>
  </si>
  <si>
    <t>Handicaphjælper med SSH 4 års erfaring</t>
  </si>
  <si>
    <t>Handicaphjælper med SSA</t>
  </si>
  <si>
    <t>Handicaphjælper SSH 11 års eller SSA 4 års erfaring</t>
  </si>
  <si>
    <t>Handicaphjælper SSA 10 års erfaring</t>
  </si>
  <si>
    <t>Medtages i Budgetark</t>
  </si>
  <si>
    <t>Indsæt enten årligt beløb eller beløb pr time</t>
  </si>
  <si>
    <t>Ja</t>
  </si>
  <si>
    <t>Udgift</t>
  </si>
  <si>
    <t>Årlig udgift</t>
  </si>
  <si>
    <t>København</t>
  </si>
  <si>
    <t>Pristals-reguleret lønadm.takst</t>
  </si>
  <si>
    <t>Tryghedspulje</t>
  </si>
  <si>
    <t>Uddannelsesløft</t>
  </si>
  <si>
    <t>Inkl. løntillæg til ufaglærte</t>
  </si>
  <si>
    <t>Nej</t>
  </si>
  <si>
    <t>Som udgangspunkt vælges timepris (trin 11) inkl. stedtillæg samt "løntillæg til ufaglærte". Hvis der i bevilling gives højere løntrin, skal dette afspejles i timeprisen.</t>
  </si>
  <si>
    <t>https://www.kl.dk/okonomi-og-administration/okonomi-og-styring/kommunal-oekonomi-a-z/</t>
  </si>
  <si>
    <t>Rummelighed jf. KL * ved grundløn som løntrin 11</t>
  </si>
  <si>
    <t>Ved tilskudsberegning med højere løntrin end løntrin 12, vælg da, om der skal tillægges "løntillæg til ufaglærte"</t>
  </si>
  <si>
    <t>Lønsatser timelønninger inkl. løntillæg til ufaglærte trin 11-15</t>
  </si>
  <si>
    <t>Rummelighedsprocent</t>
  </si>
  <si>
    <t>1. juledag, 2. juledag, Nytårsdag, Skærtorsdag, Langfredag, 2. Påskedag, Kristi Himmelfart og 2.Pinsedag</t>
  </si>
  <si>
    <t>8 dage</t>
  </si>
  <si>
    <t>10,5 dage</t>
  </si>
  <si>
    <t>SOSUHjælper</t>
  </si>
  <si>
    <t>SOSUAssistent</t>
  </si>
  <si>
    <t>Pr.år</t>
  </si>
  <si>
    <t>Indsæt antal ansatte</t>
  </si>
  <si>
    <t>4) Engangsvederlag</t>
  </si>
  <si>
    <t>Begge engangsvederlag beregnes og udbetales forholdsmæssigt i forhold til handicaphjælperens beskæftigelsesgrad.</t>
  </si>
  <si>
    <t>Social- og sundhedshjælpere ansat pr. 1. juni 2024, har med lønnen for juni 2024 ret til et engangsvederlag på kr. 1.962,60.</t>
  </si>
  <si>
    <t>Social- og sundhedsassistenter ansat pr. 1. juni 2024, har med lønnen for juni 2024 ret til et engangsvederlag på kr. 2.098,27.</t>
  </si>
  <si>
    <t>5) Engangsvederlag</t>
  </si>
  <si>
    <r>
      <t xml:space="preserve">Engangsvederlag kun juni 2024 </t>
    </r>
    <r>
      <rPr>
        <b/>
        <vertAlign val="superscript"/>
        <sz val="8"/>
        <rFont val="Verdana"/>
        <family val="2"/>
      </rPr>
      <t>5</t>
    </r>
  </si>
  <si>
    <r>
      <t xml:space="preserve">Engangsvederlag kun juni 2024 </t>
    </r>
    <r>
      <rPr>
        <b/>
        <vertAlign val="superscript"/>
        <sz val="8"/>
        <rFont val="Verdana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</si>
</sst>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kr.&quot;_-;\-* #,##0.00\ &quot;kr.&quot;_-;_-* &quot;-&quot;??\ &quot;kr.&quot;_-;_-@_-"/>
    <numFmt numFmtId="164" formatCode="_ &quot;kr.&quot;\ * #,##0.00_ ;_ &quot;kr.&quot;\ * \-#,##0.00_ ;_ &quot;kr.&quot;\ * &quot;-&quot;??_ ;_ @_ "/>
    <numFmt numFmtId="165" formatCode="_ * #,##0.00_ ;_ * \-#,##0.00_ ;_ * &quot;-&quot;??_ ;_ @_ "/>
    <numFmt numFmtId="166" formatCode="_(* #,##0.00_);_(* \(#,##0.00\);_(* &quot;-&quot;??_);_(@_)"/>
    <numFmt numFmtId="167" formatCode="_(* #,##0.0_);_(* \(#,##0.0\);_(* &quot;-&quot;??_);_(@_)"/>
    <numFmt numFmtId="168" formatCode="_(* #,##0_);_(* \(#,##0\);_(* &quot;-&quot;??_);_(@_)"/>
    <numFmt numFmtId="169" formatCode="0.0"/>
    <numFmt numFmtId="170" formatCode="0.0000"/>
  </numFmts>
  <fonts count="42" x14ac:knownFonts="1">
    <font>
      <sz val="10"/>
      <name val="Times New Roman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vertAlign val="superscript"/>
      <sz val="9"/>
      <name val="Verdana"/>
      <family val="2"/>
    </font>
    <font>
      <sz val="8"/>
      <name val="Verdana"/>
      <family val="2"/>
    </font>
    <font>
      <b/>
      <u/>
      <sz val="8"/>
      <name val="Verdana"/>
      <family val="2"/>
    </font>
    <font>
      <b/>
      <sz val="16"/>
      <color indexed="10"/>
      <name val="Verdana"/>
      <family val="2"/>
    </font>
    <font>
      <sz val="10"/>
      <color indexed="10"/>
      <name val="Verdana"/>
      <family val="2"/>
    </font>
    <font>
      <b/>
      <sz val="12"/>
      <name val="Verdana"/>
      <family val="2"/>
    </font>
    <font>
      <b/>
      <u/>
      <sz val="10"/>
      <name val="Verdana"/>
      <family val="2"/>
    </font>
    <font>
      <sz val="10"/>
      <color theme="2"/>
      <name val="Verdana"/>
      <family val="2"/>
    </font>
    <font>
      <sz val="10"/>
      <color theme="0" tint="-0.14999847407452621"/>
      <name val="Verdana"/>
      <family val="2"/>
    </font>
    <font>
      <b/>
      <vertAlign val="superscript"/>
      <sz val="8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Times New Roman"/>
      <family val="1"/>
    </font>
    <font>
      <u/>
      <sz val="10"/>
      <color theme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i/>
      <sz val="10"/>
      <name val="Verdana"/>
      <family val="2"/>
    </font>
    <font>
      <sz val="7"/>
      <name val="Verdana"/>
      <family val="2"/>
    </font>
    <font>
      <sz val="7.5"/>
      <name val="Verdana"/>
      <family val="2"/>
    </font>
    <font>
      <b/>
      <sz val="12"/>
      <color indexed="10"/>
      <name val="Verdana"/>
      <family val="2"/>
    </font>
    <font>
      <b/>
      <sz val="14"/>
      <name val="Verdana"/>
      <family val="2"/>
    </font>
    <font>
      <b/>
      <sz val="14"/>
      <color theme="1"/>
      <name val="Verdana"/>
      <family val="2"/>
    </font>
    <font>
      <b/>
      <sz val="16"/>
      <name val="Verdana"/>
      <family val="2"/>
    </font>
    <font>
      <b/>
      <u/>
      <sz val="8"/>
      <color theme="1"/>
      <name val="Verdana"/>
      <family val="2"/>
    </font>
    <font>
      <b/>
      <sz val="8"/>
      <color theme="1"/>
      <name val="Verdana"/>
      <family val="2"/>
    </font>
    <font>
      <b/>
      <i/>
      <u/>
      <sz val="8"/>
      <color theme="1"/>
      <name val="Verdana"/>
      <family val="2"/>
    </font>
    <font>
      <b/>
      <i/>
      <sz val="8"/>
      <color theme="1"/>
      <name val="Verdana"/>
      <family val="2"/>
    </font>
    <font>
      <i/>
      <sz val="8"/>
      <color theme="1"/>
      <name val="Verdana"/>
      <family val="2"/>
    </font>
    <font>
      <u/>
      <sz val="8"/>
      <color theme="10"/>
      <name val="Verdana"/>
      <family val="2"/>
    </font>
    <font>
      <sz val="8"/>
      <color theme="1"/>
      <name val="Verdana"/>
      <family val="2"/>
    </font>
    <font>
      <b/>
      <sz val="11"/>
      <color rgb="FFFFFF00"/>
      <name val="Calibri"/>
      <family val="2"/>
      <scheme val="minor"/>
    </font>
    <font>
      <vertAlign val="superscript"/>
      <sz val="8"/>
      <name val="Verdana"/>
      <family val="2"/>
    </font>
    <font>
      <i/>
      <u/>
      <sz val="8"/>
      <color theme="1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370">
    <xf numFmtId="0" fontId="0" fillId="0" borderId="0" xfId="0"/>
    <xf numFmtId="0" fontId="31" fillId="0" borderId="0" xfId="0" applyFont="1"/>
    <xf numFmtId="0" fontId="8" fillId="0" borderId="0" xfId="0" applyFont="1"/>
    <xf numFmtId="0" fontId="6" fillId="0" borderId="0" xfId="0" applyFont="1"/>
    <xf numFmtId="0" fontId="32" fillId="0" borderId="40" xfId="0" applyFont="1" applyBorder="1"/>
    <xf numFmtId="0" fontId="8" fillId="0" borderId="41" xfId="0" applyFont="1" applyBorder="1"/>
    <xf numFmtId="0" fontId="8" fillId="0" borderId="6" xfId="0" applyFont="1" applyBorder="1"/>
    <xf numFmtId="0" fontId="32" fillId="0" borderId="12" xfId="0" applyFont="1" applyBorder="1"/>
    <xf numFmtId="0" fontId="33" fillId="0" borderId="13" xfId="0" applyFont="1" applyBorder="1" applyAlignment="1">
      <alignment horizontal="center"/>
    </xf>
    <xf numFmtId="0" fontId="8" fillId="0" borderId="0" xfId="0" applyFont="1" applyAlignment="1">
      <alignment horizontal="left"/>
    </xf>
    <xf numFmtId="164" fontId="8" fillId="0" borderId="0" xfId="5" applyFont="1" applyBorder="1" applyProtection="1"/>
    <xf numFmtId="0" fontId="8" fillId="0" borderId="13" xfId="0" applyFont="1" applyBorder="1"/>
    <xf numFmtId="44" fontId="8" fillId="0" borderId="13" xfId="0" applyNumberFormat="1" applyFont="1" applyBorder="1"/>
    <xf numFmtId="0" fontId="8" fillId="0" borderId="20" xfId="0" applyFont="1" applyBorder="1"/>
    <xf numFmtId="164" fontId="8" fillId="0" borderId="20" xfId="5" applyFont="1" applyBorder="1" applyProtection="1"/>
    <xf numFmtId="44" fontId="8" fillId="0" borderId="19" xfId="0" applyNumberFormat="1" applyFont="1" applyBorder="1"/>
    <xf numFmtId="0" fontId="32" fillId="0" borderId="42" xfId="0" applyFont="1" applyBorder="1"/>
    <xf numFmtId="0" fontId="6" fillId="0" borderId="43" xfId="0" applyFont="1" applyBorder="1"/>
    <xf numFmtId="164" fontId="6" fillId="0" borderId="43" xfId="5" applyFont="1" applyBorder="1" applyProtection="1"/>
    <xf numFmtId="44" fontId="6" fillId="0" borderId="44" xfId="0" applyNumberFormat="1" applyFont="1" applyBorder="1"/>
    <xf numFmtId="4" fontId="8" fillId="0" borderId="0" xfId="0" applyNumberFormat="1" applyFont="1"/>
    <xf numFmtId="164" fontId="8" fillId="0" borderId="0" xfId="5" applyFont="1" applyProtection="1"/>
    <xf numFmtId="0" fontId="34" fillId="0" borderId="0" xfId="0" applyFo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0" fontId="35" fillId="0" borderId="0" xfId="0" applyFont="1"/>
    <xf numFmtId="0" fontId="8" fillId="0" borderId="0" xfId="0" quotePrefix="1" applyFont="1"/>
    <xf numFmtId="0" fontId="33" fillId="0" borderId="0" xfId="0" applyFont="1"/>
    <xf numFmtId="0" fontId="33" fillId="0" borderId="25" xfId="0" applyFont="1" applyBorder="1" applyAlignment="1">
      <alignment horizontal="center" wrapText="1"/>
    </xf>
    <xf numFmtId="0" fontId="33" fillId="0" borderId="50" xfId="0" applyFont="1" applyBorder="1" applyAlignment="1">
      <alignment horizontal="center" wrapText="1"/>
    </xf>
    <xf numFmtId="0" fontId="33" fillId="0" borderId="35" xfId="0" applyFont="1" applyBorder="1" applyAlignment="1">
      <alignment horizontal="center" wrapText="1"/>
    </xf>
    <xf numFmtId="2" fontId="8" fillId="9" borderId="51" xfId="0" applyNumberFormat="1" applyFont="1" applyFill="1" applyBorder="1" applyAlignment="1">
      <alignment horizontal="center" wrapText="1"/>
    </xf>
    <xf numFmtId="0" fontId="8" fillId="0" borderId="20" xfId="0" applyFont="1" applyBorder="1" applyAlignment="1">
      <alignment wrapText="1"/>
    </xf>
    <xf numFmtId="0" fontId="8" fillId="0" borderId="21" xfId="0" applyFont="1" applyBorder="1" applyAlignment="1">
      <alignment wrapText="1"/>
    </xf>
    <xf numFmtId="0" fontId="33" fillId="0" borderId="52" xfId="0" applyFont="1" applyBorder="1" applyAlignment="1">
      <alignment wrapText="1"/>
    </xf>
    <xf numFmtId="0" fontId="33" fillId="0" borderId="20" xfId="0" applyFont="1" applyBorder="1" applyAlignment="1">
      <alignment wrapText="1"/>
    </xf>
    <xf numFmtId="0" fontId="33" fillId="0" borderId="20" xfId="0" applyFont="1" applyBorder="1" applyAlignment="1">
      <alignment horizontal="center" wrapText="1"/>
    </xf>
    <xf numFmtId="0" fontId="33" fillId="0" borderId="21" xfId="0" applyFont="1" applyBorder="1" applyAlignment="1">
      <alignment horizontal="center" wrapText="1"/>
    </xf>
    <xf numFmtId="0" fontId="33" fillId="0" borderId="19" xfId="0" applyFont="1" applyBorder="1" applyAlignment="1">
      <alignment horizontal="center" wrapText="1"/>
    </xf>
    <xf numFmtId="0" fontId="8" fillId="0" borderId="12" xfId="0" applyFont="1" applyBorder="1"/>
    <xf numFmtId="0" fontId="8" fillId="0" borderId="0" xfId="0" applyFont="1" applyAlignment="1">
      <alignment horizontal="center"/>
    </xf>
    <xf numFmtId="1" fontId="8" fillId="0" borderId="49" xfId="0" applyNumberFormat="1" applyFont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0" fontId="8" fillId="0" borderId="12" xfId="0" quotePrefix="1" applyFont="1" applyBorder="1"/>
    <xf numFmtId="0" fontId="8" fillId="0" borderId="52" xfId="0" quotePrefix="1" applyFont="1" applyBorder="1"/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42" xfId="0" applyFont="1" applyBorder="1"/>
    <xf numFmtId="0" fontId="8" fillId="0" borderId="43" xfId="0" applyFont="1" applyBorder="1"/>
    <xf numFmtId="0" fontId="8" fillId="0" borderId="44" xfId="0" applyFont="1" applyBorder="1"/>
    <xf numFmtId="0" fontId="8" fillId="0" borderId="17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164" fontId="8" fillId="0" borderId="8" xfId="5" applyFont="1" applyFill="1" applyBorder="1" applyAlignment="1" applyProtection="1">
      <alignment horizontal="center" wrapText="1"/>
    </xf>
    <xf numFmtId="1" fontId="8" fillId="0" borderId="17" xfId="1" applyNumberFormat="1" applyFont="1" applyFill="1" applyBorder="1" applyAlignment="1" applyProtection="1">
      <alignment horizontal="center"/>
    </xf>
    <xf numFmtId="169" fontId="8" fillId="0" borderId="1" xfId="0" applyNumberFormat="1" applyFont="1" applyBorder="1" applyAlignment="1">
      <alignment horizontal="center"/>
    </xf>
    <xf numFmtId="164" fontId="8" fillId="0" borderId="8" xfId="5" applyFont="1" applyFill="1" applyBorder="1" applyProtection="1"/>
    <xf numFmtId="0" fontId="33" fillId="8" borderId="0" xfId="0" applyFont="1" applyFill="1" applyProtection="1">
      <protection locked="0"/>
    </xf>
    <xf numFmtId="10" fontId="8" fillId="8" borderId="0" xfId="0" applyNumberFormat="1" applyFont="1" applyFill="1" applyProtection="1">
      <protection locked="0"/>
    </xf>
    <xf numFmtId="0" fontId="12" fillId="0" borderId="20" xfId="0" applyFont="1" applyBorder="1"/>
    <xf numFmtId="0" fontId="6" fillId="0" borderId="24" xfId="0" applyFont="1" applyBorder="1"/>
    <xf numFmtId="0" fontId="8" fillId="3" borderId="6" xfId="0" applyFont="1" applyFill="1" applyBorder="1"/>
    <xf numFmtId="0" fontId="8" fillId="2" borderId="9" xfId="0" applyFont="1" applyFill="1" applyBorder="1" applyAlignment="1">
      <alignment wrapText="1"/>
    </xf>
    <xf numFmtId="10" fontId="8" fillId="0" borderId="10" xfId="1" applyNumberFormat="1" applyFont="1" applyBorder="1" applyProtection="1"/>
    <xf numFmtId="0" fontId="8" fillId="2" borderId="14" xfId="0" applyFont="1" applyFill="1" applyBorder="1" applyAlignment="1">
      <alignment wrapText="1"/>
    </xf>
    <xf numFmtId="10" fontId="8" fillId="0" borderId="15" xfId="0" applyNumberFormat="1" applyFont="1" applyBorder="1"/>
    <xf numFmtId="0" fontId="6" fillId="0" borderId="46" xfId="0" applyFont="1" applyBorder="1"/>
    <xf numFmtId="0" fontId="8" fillId="3" borderId="26" xfId="0" applyFont="1" applyFill="1" applyBorder="1"/>
    <xf numFmtId="14" fontId="8" fillId="3" borderId="31" xfId="0" applyNumberFormat="1" applyFont="1" applyFill="1" applyBorder="1"/>
    <xf numFmtId="4" fontId="8" fillId="0" borderId="32" xfId="0" applyNumberFormat="1" applyFont="1" applyBorder="1"/>
    <xf numFmtId="165" fontId="8" fillId="0" borderId="0" xfId="0" applyNumberFormat="1" applyFont="1"/>
    <xf numFmtId="0" fontId="6" fillId="0" borderId="0" xfId="0" applyFont="1" applyAlignment="1">
      <alignment wrapText="1"/>
    </xf>
    <xf numFmtId="2" fontId="6" fillId="0" borderId="0" xfId="0" applyNumberFormat="1" applyFont="1" applyAlignment="1">
      <alignment horizontal="center"/>
    </xf>
    <xf numFmtId="14" fontId="8" fillId="3" borderId="48" xfId="0" applyNumberFormat="1" applyFont="1" applyFill="1" applyBorder="1"/>
    <xf numFmtId="10" fontId="8" fillId="0" borderId="32" xfId="0" applyNumberFormat="1" applyFont="1" applyBorder="1"/>
    <xf numFmtId="14" fontId="8" fillId="0" borderId="0" xfId="0" applyNumberFormat="1" applyFont="1"/>
    <xf numFmtId="10" fontId="8" fillId="0" borderId="0" xfId="0" applyNumberFormat="1" applyFont="1"/>
    <xf numFmtId="0" fontId="8" fillId="3" borderId="27" xfId="0" applyFont="1" applyFill="1" applyBorder="1"/>
    <xf numFmtId="0" fontId="8" fillId="3" borderId="28" xfId="0" applyFont="1" applyFill="1" applyBorder="1"/>
    <xf numFmtId="0" fontId="8" fillId="3" borderId="2" xfId="0" applyFont="1" applyFill="1" applyBorder="1"/>
    <xf numFmtId="166" fontId="8" fillId="0" borderId="1" xfId="1" applyFont="1" applyBorder="1" applyProtection="1"/>
    <xf numFmtId="168" fontId="8" fillId="0" borderId="10" xfId="1" applyNumberFormat="1" applyFont="1" applyBorder="1" applyProtection="1"/>
    <xf numFmtId="0" fontId="8" fillId="3" borderId="7" xfId="0" applyFont="1" applyFill="1" applyBorder="1"/>
    <xf numFmtId="166" fontId="8" fillId="0" borderId="10" xfId="1" applyFont="1" applyBorder="1" applyProtection="1"/>
    <xf numFmtId="0" fontId="8" fillId="3" borderId="36" xfId="0" applyFont="1" applyFill="1" applyBorder="1"/>
    <xf numFmtId="166" fontId="8" fillId="0" borderId="29" xfId="1" applyFont="1" applyBorder="1" applyProtection="1"/>
    <xf numFmtId="166" fontId="8" fillId="0" borderId="30" xfId="1" applyFont="1" applyBorder="1" applyProtection="1"/>
    <xf numFmtId="166" fontId="8" fillId="0" borderId="35" xfId="1" applyFont="1" applyBorder="1" applyProtection="1"/>
    <xf numFmtId="166" fontId="8" fillId="0" borderId="18" xfId="1" applyFont="1" applyBorder="1" applyProtection="1"/>
    <xf numFmtId="10" fontId="8" fillId="0" borderId="33" xfId="0" applyNumberFormat="1" applyFont="1" applyBorder="1"/>
    <xf numFmtId="10" fontId="8" fillId="0" borderId="34" xfId="0" applyNumberFormat="1" applyFont="1" applyBorder="1"/>
    <xf numFmtId="0" fontId="27" fillId="0" borderId="0" xfId="0" applyFont="1"/>
    <xf numFmtId="4" fontId="8" fillId="0" borderId="15" xfId="0" applyNumberFormat="1" applyFont="1" applyBorder="1"/>
    <xf numFmtId="0" fontId="8" fillId="3" borderId="6" xfId="0" applyFont="1" applyFill="1" applyBorder="1" applyAlignment="1">
      <alignment wrapText="1"/>
    </xf>
    <xf numFmtId="0" fontId="8" fillId="2" borderId="2" xfId="0" applyFont="1" applyFill="1" applyBorder="1"/>
    <xf numFmtId="0" fontId="8" fillId="2" borderId="7" xfId="0" applyFont="1" applyFill="1" applyBorder="1"/>
    <xf numFmtId="0" fontId="8" fillId="2" borderId="38" xfId="0" applyFont="1" applyFill="1" applyBorder="1"/>
    <xf numFmtId="4" fontId="38" fillId="8" borderId="10" xfId="0" applyNumberFormat="1" applyFont="1" applyFill="1" applyBorder="1" applyProtection="1">
      <protection locked="0"/>
    </xf>
    <xf numFmtId="0" fontId="29" fillId="0" borderId="0" xfId="0" applyFont="1"/>
    <xf numFmtId="0" fontId="11" fillId="0" borderId="0" xfId="0" applyFont="1"/>
    <xf numFmtId="0" fontId="4" fillId="0" borderId="0" xfId="0" applyFont="1"/>
    <xf numFmtId="0" fontId="28" fillId="0" borderId="0" xfId="0" applyFont="1"/>
    <xf numFmtId="0" fontId="12" fillId="0" borderId="0" xfId="0" applyFont="1"/>
    <xf numFmtId="0" fontId="5" fillId="0" borderId="0" xfId="0" applyFont="1"/>
    <xf numFmtId="3" fontId="4" fillId="0" borderId="0" xfId="1" applyNumberFormat="1" applyFont="1" applyFill="1" applyBorder="1" applyAlignment="1" applyProtection="1">
      <alignment horizontal="center"/>
    </xf>
    <xf numFmtId="14" fontId="14" fillId="0" borderId="0" xfId="0" applyNumberFormat="1" applyFont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/>
    <xf numFmtId="166" fontId="8" fillId="2" borderId="1" xfId="1" applyFont="1" applyFill="1" applyBorder="1" applyProtection="1"/>
    <xf numFmtId="166" fontId="8" fillId="0" borderId="0" xfId="1" applyFont="1" applyFill="1" applyBorder="1" applyProtection="1"/>
    <xf numFmtId="2" fontId="4" fillId="0" borderId="0" xfId="0" applyNumberFormat="1" applyFont="1"/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166" fontId="8" fillId="2" borderId="8" xfId="1" applyFont="1" applyFill="1" applyBorder="1" applyProtection="1"/>
    <xf numFmtId="166" fontId="8" fillId="2" borderId="9" xfId="1" applyFont="1" applyFill="1" applyBorder="1" applyProtection="1"/>
    <xf numFmtId="166" fontId="8" fillId="2" borderId="10" xfId="1" applyFont="1" applyFill="1" applyBorder="1" applyProtection="1"/>
    <xf numFmtId="166" fontId="8" fillId="0" borderId="11" xfId="0" applyNumberFormat="1" applyFont="1" applyBorder="1"/>
    <xf numFmtId="166" fontId="4" fillId="0" borderId="1" xfId="1" applyFont="1" applyBorder="1" applyProtection="1"/>
    <xf numFmtId="166" fontId="4" fillId="0" borderId="10" xfId="1" applyFont="1" applyBorder="1" applyProtection="1"/>
    <xf numFmtId="17" fontId="8" fillId="2" borderId="1" xfId="0" applyNumberFormat="1" applyFont="1" applyFill="1" applyBorder="1"/>
    <xf numFmtId="165" fontId="4" fillId="0" borderId="0" xfId="0" applyNumberFormat="1" applyFont="1"/>
    <xf numFmtId="166" fontId="8" fillId="0" borderId="0" xfId="1" applyFont="1" applyBorder="1" applyProtection="1"/>
    <xf numFmtId="166" fontId="8" fillId="0" borderId="12" xfId="1" applyFont="1" applyBorder="1" applyProtection="1"/>
    <xf numFmtId="166" fontId="8" fillId="0" borderId="13" xfId="1" applyFont="1" applyBorder="1" applyProtection="1"/>
    <xf numFmtId="166" fontId="4" fillId="0" borderId="0" xfId="0" applyNumberFormat="1" applyFont="1"/>
    <xf numFmtId="49" fontId="4" fillId="0" borderId="0" xfId="0" applyNumberFormat="1" applyFont="1"/>
    <xf numFmtId="166" fontId="8" fillId="2" borderId="14" xfId="1" applyFont="1" applyFill="1" applyBorder="1" applyProtection="1"/>
    <xf numFmtId="166" fontId="8" fillId="2" borderId="15" xfId="1" applyFont="1" applyFill="1" applyBorder="1" applyProtection="1"/>
    <xf numFmtId="0" fontId="6" fillId="0" borderId="9" xfId="0" applyFont="1" applyBorder="1"/>
    <xf numFmtId="0" fontId="8" fillId="0" borderId="16" xfId="0" applyFont="1" applyBorder="1"/>
    <xf numFmtId="166" fontId="8" fillId="0" borderId="17" xfId="1" applyFont="1" applyBorder="1" applyProtection="1"/>
    <xf numFmtId="166" fontId="8" fillId="0" borderId="0" xfId="3" applyFont="1" applyBorder="1" applyProtection="1"/>
    <xf numFmtId="0" fontId="6" fillId="0" borderId="12" xfId="0" applyFont="1" applyBorder="1"/>
    <xf numFmtId="0" fontId="6" fillId="2" borderId="9" xfId="0" applyFont="1" applyFill="1" applyBorder="1"/>
    <xf numFmtId="0" fontId="8" fillId="2" borderId="16" xfId="0" applyFont="1" applyFill="1" applyBorder="1"/>
    <xf numFmtId="166" fontId="8" fillId="2" borderId="17" xfId="1" applyFont="1" applyFill="1" applyBorder="1" applyProtection="1"/>
    <xf numFmtId="167" fontId="8" fillId="2" borderId="1" xfId="1" applyNumberFormat="1" applyFont="1" applyFill="1" applyBorder="1" applyProtection="1"/>
    <xf numFmtId="9" fontId="8" fillId="0" borderId="0" xfId="1" applyNumberFormat="1" applyFont="1" applyFill="1" applyBorder="1" applyProtection="1"/>
    <xf numFmtId="166" fontId="8" fillId="0" borderId="8" xfId="1" applyFont="1" applyBorder="1" applyProtection="1"/>
    <xf numFmtId="3" fontId="8" fillId="0" borderId="0" xfId="1" applyNumberFormat="1" applyFont="1" applyFill="1" applyBorder="1" applyProtection="1"/>
    <xf numFmtId="167" fontId="8" fillId="0" borderId="0" xfId="1" applyNumberFormat="1" applyFont="1" applyFill="1" applyBorder="1" applyProtection="1"/>
    <xf numFmtId="166" fontId="8" fillId="0" borderId="13" xfId="1" applyFont="1" applyFill="1" applyBorder="1" applyProtection="1"/>
    <xf numFmtId="166" fontId="8" fillId="0" borderId="10" xfId="1" applyFont="1" applyFill="1" applyBorder="1" applyProtection="1"/>
    <xf numFmtId="10" fontId="8" fillId="0" borderId="0" xfId="1" applyNumberFormat="1" applyFont="1" applyFill="1" applyBorder="1" applyProtection="1"/>
    <xf numFmtId="10" fontId="8" fillId="2" borderId="1" xfId="1" applyNumberFormat="1" applyFont="1" applyFill="1" applyBorder="1" applyProtection="1"/>
    <xf numFmtId="166" fontId="8" fillId="0" borderId="18" xfId="1" applyFont="1" applyFill="1" applyBorder="1" applyProtection="1"/>
    <xf numFmtId="168" fontId="8" fillId="0" borderId="1" xfId="1" applyNumberFormat="1" applyFont="1" applyBorder="1" applyProtection="1"/>
    <xf numFmtId="0" fontId="4" fillId="0" borderId="0" xfId="0" applyFont="1" applyAlignment="1">
      <alignment wrapText="1"/>
    </xf>
    <xf numFmtId="168" fontId="8" fillId="0" borderId="1" xfId="1" applyNumberFormat="1" applyFont="1" applyFill="1" applyBorder="1" applyProtection="1"/>
    <xf numFmtId="0" fontId="13" fillId="0" borderId="0" xfId="0" applyFont="1"/>
    <xf numFmtId="0" fontId="6" fillId="0" borderId="8" xfId="0" applyFont="1" applyBorder="1"/>
    <xf numFmtId="166" fontId="8" fillId="0" borderId="16" xfId="1" applyFont="1" applyFill="1" applyBorder="1" applyProtection="1"/>
    <xf numFmtId="0" fontId="8" fillId="0" borderId="19" xfId="0" applyFont="1" applyBorder="1"/>
    <xf numFmtId="0" fontId="8" fillId="2" borderId="20" xfId="0" applyFont="1" applyFill="1" applyBorder="1"/>
    <xf numFmtId="166" fontId="8" fillId="2" borderId="21" xfId="1" applyFont="1" applyFill="1" applyBorder="1" applyProtection="1"/>
    <xf numFmtId="166" fontId="8" fillId="4" borderId="1" xfId="1" applyFont="1" applyFill="1" applyBorder="1" applyProtection="1"/>
    <xf numFmtId="4" fontId="8" fillId="4" borderId="1" xfId="1" applyNumberFormat="1" applyFont="1" applyFill="1" applyBorder="1" applyProtection="1"/>
    <xf numFmtId="14" fontId="4" fillId="0" borderId="0" xfId="0" applyNumberFormat="1" applyFont="1"/>
    <xf numFmtId="4" fontId="8" fillId="0" borderId="0" xfId="1" applyNumberFormat="1" applyFont="1" applyFill="1" applyBorder="1" applyProtection="1"/>
    <xf numFmtId="0" fontId="6" fillId="2" borderId="8" xfId="0" applyFont="1" applyFill="1" applyBorder="1"/>
    <xf numFmtId="167" fontId="8" fillId="0" borderId="0" xfId="1" applyNumberFormat="1" applyFont="1" applyFill="1" applyBorder="1" applyAlignment="1" applyProtection="1">
      <alignment wrapText="1"/>
    </xf>
    <xf numFmtId="166" fontId="8" fillId="0" borderId="0" xfId="1" applyFont="1" applyFill="1" applyBorder="1" applyAlignment="1" applyProtection="1">
      <alignment wrapText="1"/>
    </xf>
    <xf numFmtId="0" fontId="6" fillId="2" borderId="16" xfId="0" applyFont="1" applyFill="1" applyBorder="1"/>
    <xf numFmtId="166" fontId="6" fillId="2" borderId="17" xfId="1" applyFont="1" applyFill="1" applyBorder="1" applyProtection="1"/>
    <xf numFmtId="166" fontId="4" fillId="0" borderId="0" xfId="1" applyFont="1" applyBorder="1" applyProtection="1"/>
    <xf numFmtId="166" fontId="4" fillId="0" borderId="17" xfId="1" applyFont="1" applyBorder="1" applyProtection="1"/>
    <xf numFmtId="4" fontId="8" fillId="2" borderId="1" xfId="1" applyNumberFormat="1" applyFont="1" applyFill="1" applyBorder="1" applyProtection="1"/>
    <xf numFmtId="0" fontId="6" fillId="0" borderId="14" xfId="0" applyFont="1" applyBorder="1"/>
    <xf numFmtId="0" fontId="8" fillId="0" borderId="23" xfId="0" applyFont="1" applyBorder="1"/>
    <xf numFmtId="166" fontId="6" fillId="0" borderId="24" xfId="1" applyFont="1" applyBorder="1" applyProtection="1"/>
    <xf numFmtId="168" fontId="6" fillId="0" borderId="0" xfId="1" applyNumberFormat="1" applyFont="1" applyBorder="1" applyProtection="1"/>
    <xf numFmtId="0" fontId="8" fillId="5" borderId="0" xfId="0" applyFont="1" applyFill="1"/>
    <xf numFmtId="168" fontId="6" fillId="5" borderId="0" xfId="1" applyNumberFormat="1" applyFont="1" applyFill="1" applyBorder="1" applyProtection="1"/>
    <xf numFmtId="168" fontId="6" fillId="0" borderId="0" xfId="1" applyNumberFormat="1" applyFont="1" applyFill="1" applyBorder="1" applyProtection="1"/>
    <xf numFmtId="166" fontId="6" fillId="0" borderId="0" xfId="1" applyFont="1" applyFill="1" applyBorder="1" applyProtection="1"/>
    <xf numFmtId="0" fontId="4" fillId="5" borderId="0" xfId="0" applyFont="1" applyFill="1"/>
    <xf numFmtId="166" fontId="4" fillId="5" borderId="0" xfId="0" applyNumberFormat="1" applyFont="1" applyFill="1"/>
    <xf numFmtId="166" fontId="6" fillId="0" borderId="0" xfId="0" applyNumberFormat="1" applyFont="1"/>
    <xf numFmtId="10" fontId="8" fillId="0" borderId="1" xfId="0" applyNumberFormat="1" applyFont="1" applyBorder="1"/>
    <xf numFmtId="166" fontId="6" fillId="5" borderId="0" xfId="0" applyNumberFormat="1" applyFont="1" applyFill="1"/>
    <xf numFmtId="168" fontId="6" fillId="0" borderId="0" xfId="0" applyNumberFormat="1" applyFont="1"/>
    <xf numFmtId="166" fontId="6" fillId="2" borderId="1" xfId="1" applyFont="1" applyFill="1" applyBorder="1" applyProtection="1"/>
    <xf numFmtId="37" fontId="6" fillId="0" borderId="0" xfId="0" applyNumberFormat="1" applyFont="1"/>
    <xf numFmtId="0" fontId="6" fillId="5" borderId="0" xfId="0" applyFont="1" applyFill="1"/>
    <xf numFmtId="37" fontId="6" fillId="5" borderId="0" xfId="0" applyNumberFormat="1" applyFont="1" applyFill="1"/>
    <xf numFmtId="166" fontId="8" fillId="0" borderId="1" xfId="1" applyFont="1" applyFill="1" applyBorder="1" applyProtection="1"/>
    <xf numFmtId="0" fontId="6" fillId="0" borderId="50" xfId="0" applyFont="1" applyBorder="1"/>
    <xf numFmtId="166" fontId="6" fillId="0" borderId="50" xfId="1" applyFont="1" applyFill="1" applyBorder="1" applyProtection="1"/>
    <xf numFmtId="166" fontId="8" fillId="0" borderId="50" xfId="1" applyFont="1" applyFill="1" applyBorder="1" applyProtection="1"/>
    <xf numFmtId="4" fontId="8" fillId="0" borderId="50" xfId="1" applyNumberFormat="1" applyFont="1" applyFill="1" applyBorder="1" applyProtection="1"/>
    <xf numFmtId="166" fontId="8" fillId="0" borderId="50" xfId="1" applyFont="1" applyBorder="1" applyProtection="1"/>
    <xf numFmtId="166" fontId="4" fillId="0" borderId="50" xfId="1" applyFont="1" applyBorder="1" applyProtection="1"/>
    <xf numFmtId="0" fontId="9" fillId="0" borderId="0" xfId="0" applyFont="1"/>
    <xf numFmtId="166" fontId="4" fillId="0" borderId="0" xfId="1" applyFont="1" applyProtection="1"/>
    <xf numFmtId="166" fontId="8" fillId="0" borderId="0" xfId="0" applyNumberFormat="1" applyFont="1"/>
    <xf numFmtId="166" fontId="4" fillId="0" borderId="0" xfId="1" applyFont="1" applyFill="1" applyProtection="1"/>
    <xf numFmtId="0" fontId="4" fillId="8" borderId="8" xfId="0" applyFont="1" applyFill="1" applyBorder="1" applyProtection="1">
      <protection locked="0"/>
    </xf>
    <xf numFmtId="0" fontId="4" fillId="8" borderId="17" xfId="0" applyFont="1" applyFill="1" applyBorder="1" applyProtection="1">
      <protection locked="0"/>
    </xf>
    <xf numFmtId="0" fontId="4" fillId="8" borderId="16" xfId="0" applyFont="1" applyFill="1" applyBorder="1" applyProtection="1">
      <protection locked="0"/>
    </xf>
    <xf numFmtId="14" fontId="8" fillId="8" borderId="22" xfId="0" applyNumberFormat="1" applyFont="1" applyFill="1" applyBorder="1" applyProtection="1">
      <protection locked="0"/>
    </xf>
    <xf numFmtId="166" fontId="8" fillId="8" borderId="1" xfId="1" applyFont="1" applyFill="1" applyBorder="1" applyProtection="1">
      <protection locked="0"/>
    </xf>
    <xf numFmtId="167" fontId="8" fillId="8" borderId="1" xfId="1" applyNumberFormat="1" applyFont="1" applyFill="1" applyBorder="1" applyProtection="1">
      <protection locked="0"/>
    </xf>
    <xf numFmtId="166" fontId="8" fillId="8" borderId="17" xfId="1" applyFont="1" applyFill="1" applyBorder="1" applyProtection="1">
      <protection locked="0"/>
    </xf>
    <xf numFmtId="4" fontId="8" fillId="8" borderId="1" xfId="1" applyNumberFormat="1" applyFont="1" applyFill="1" applyBorder="1" applyProtection="1">
      <protection locked="0"/>
    </xf>
    <xf numFmtId="10" fontId="8" fillId="8" borderId="1" xfId="1" applyNumberFormat="1" applyFont="1" applyFill="1" applyBorder="1" applyProtection="1">
      <protection locked="0"/>
    </xf>
    <xf numFmtId="0" fontId="30" fillId="0" borderId="0" xfId="0" applyFont="1"/>
    <xf numFmtId="0" fontId="10" fillId="0" borderId="0" xfId="0" applyFont="1"/>
    <xf numFmtId="0" fontId="8" fillId="3" borderId="1" xfId="0" applyFont="1" applyFill="1" applyBorder="1"/>
    <xf numFmtId="14" fontId="15" fillId="0" borderId="0" xfId="0" applyNumberFormat="1" applyFont="1"/>
    <xf numFmtId="2" fontId="8" fillId="4" borderId="1" xfId="1" applyNumberFormat="1" applyFont="1" applyFill="1" applyBorder="1" applyProtection="1"/>
    <xf numFmtId="166" fontId="6" fillId="0" borderId="1" xfId="1" applyFont="1" applyBorder="1" applyProtection="1"/>
    <xf numFmtId="2" fontId="8" fillId="2" borderId="1" xfId="0" applyNumberFormat="1" applyFont="1" applyFill="1" applyBorder="1"/>
    <xf numFmtId="2" fontId="4" fillId="2" borderId="1" xfId="0" applyNumberFormat="1" applyFont="1" applyFill="1" applyBorder="1"/>
    <xf numFmtId="166" fontId="6" fillId="0" borderId="0" xfId="1" applyFont="1" applyBorder="1" applyProtection="1"/>
    <xf numFmtId="166" fontId="8" fillId="8" borderId="17" xfId="1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3" fontId="4" fillId="3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0" fillId="6" borderId="29" xfId="0" applyFont="1" applyFill="1" applyBorder="1" applyAlignment="1">
      <alignment horizontal="center"/>
    </xf>
    <xf numFmtId="0" fontId="17" fillId="6" borderId="29" xfId="0" applyFont="1" applyFill="1" applyBorder="1" applyAlignment="1">
      <alignment wrapText="1"/>
    </xf>
    <xf numFmtId="0" fontId="17" fillId="6" borderId="8" xfId="0" applyFont="1" applyFill="1" applyBorder="1"/>
    <xf numFmtId="4" fontId="17" fillId="0" borderId="1" xfId="0" applyNumberFormat="1" applyFont="1" applyBorder="1"/>
    <xf numFmtId="0" fontId="17" fillId="0" borderId="1" xfId="0" applyFont="1" applyBorder="1" applyAlignment="1">
      <alignment wrapText="1"/>
    </xf>
    <xf numFmtId="0" fontId="17" fillId="0" borderId="0" xfId="0" applyFont="1" applyAlignment="1">
      <alignment wrapText="1"/>
    </xf>
    <xf numFmtId="0" fontId="17" fillId="6" borderId="17" xfId="0" applyFont="1" applyFill="1" applyBorder="1" applyAlignment="1">
      <alignment wrapText="1"/>
    </xf>
    <xf numFmtId="4" fontId="17" fillId="0" borderId="8" xfId="0" applyNumberFormat="1" applyFont="1" applyBorder="1"/>
    <xf numFmtId="0" fontId="17" fillId="0" borderId="35" xfId="0" applyFont="1" applyBorder="1" applyAlignment="1">
      <alignment wrapText="1"/>
    </xf>
    <xf numFmtId="2" fontId="8" fillId="0" borderId="25" xfId="0" applyNumberFormat="1" applyFont="1" applyBorder="1"/>
    <xf numFmtId="0" fontId="17" fillId="6" borderId="35" xfId="0" applyFont="1" applyFill="1" applyBorder="1" applyAlignment="1">
      <alignment wrapText="1"/>
    </xf>
    <xf numFmtId="0" fontId="17" fillId="6" borderId="25" xfId="0" applyFont="1" applyFill="1" applyBorder="1" applyAlignment="1">
      <alignment wrapText="1"/>
    </xf>
    <xf numFmtId="0" fontId="17" fillId="0" borderId="45" xfId="0" applyFont="1" applyBorder="1" applyAlignment="1">
      <alignment wrapText="1"/>
    </xf>
    <xf numFmtId="0" fontId="17" fillId="6" borderId="17" xfId="0" applyFont="1" applyFill="1" applyBorder="1"/>
    <xf numFmtId="4" fontId="17" fillId="0" borderId="45" xfId="0" applyNumberFormat="1" applyFont="1" applyBorder="1"/>
    <xf numFmtId="0" fontId="18" fillId="6" borderId="8" xfId="0" applyFont="1" applyFill="1" applyBorder="1"/>
    <xf numFmtId="4" fontId="18" fillId="0" borderId="1" xfId="0" applyNumberFormat="1" applyFont="1" applyBorder="1"/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6" borderId="17" xfId="0" applyFont="1" applyFill="1" applyBorder="1" applyAlignment="1">
      <alignment wrapText="1"/>
    </xf>
    <xf numFmtId="4" fontId="18" fillId="0" borderId="8" xfId="0" applyNumberFormat="1" applyFont="1" applyBorder="1"/>
    <xf numFmtId="4" fontId="18" fillId="0" borderId="45" xfId="0" applyNumberFormat="1" applyFont="1" applyBorder="1"/>
    <xf numFmtId="0" fontId="20" fillId="6" borderId="17" xfId="0" applyFont="1" applyFill="1" applyBorder="1" applyAlignment="1">
      <alignment wrapText="1"/>
    </xf>
    <xf numFmtId="4" fontId="20" fillId="0" borderId="8" xfId="0" applyNumberFormat="1" applyFont="1" applyBorder="1"/>
    <xf numFmtId="4" fontId="20" fillId="0" borderId="45" xfId="0" applyNumberFormat="1" applyFont="1" applyBorder="1"/>
    <xf numFmtId="4" fontId="20" fillId="0" borderId="1" xfId="0" applyNumberFormat="1" applyFont="1" applyBorder="1"/>
    <xf numFmtId="0" fontId="20" fillId="0" borderId="0" xfId="0" applyFont="1" applyAlignment="1">
      <alignment wrapText="1"/>
    </xf>
    <xf numFmtId="4" fontId="20" fillId="0" borderId="0" xfId="0" applyNumberFormat="1" applyFont="1"/>
    <xf numFmtId="0" fontId="19" fillId="6" borderId="8" xfId="0" applyFont="1" applyFill="1" applyBorder="1"/>
    <xf numFmtId="4" fontId="19" fillId="0" borderId="1" xfId="0" applyNumberFormat="1" applyFont="1" applyBorder="1"/>
    <xf numFmtId="0" fontId="19" fillId="0" borderId="1" xfId="0" applyFont="1" applyBorder="1" applyAlignment="1">
      <alignment wrapText="1"/>
    </xf>
    <xf numFmtId="4" fontId="19" fillId="0" borderId="0" xfId="0" applyNumberFormat="1" applyFont="1" applyAlignment="1">
      <alignment wrapText="1"/>
    </xf>
    <xf numFmtId="0" fontId="20" fillId="6" borderId="8" xfId="0" applyFont="1" applyFill="1" applyBorder="1"/>
    <xf numFmtId="0" fontId="20" fillId="0" borderId="1" xfId="0" applyFont="1" applyBorder="1" applyAlignment="1">
      <alignment wrapText="1"/>
    </xf>
    <xf numFmtId="0" fontId="23" fillId="0" borderId="0" xfId="0" applyFont="1"/>
    <xf numFmtId="0" fontId="19" fillId="0" borderId="0" xfId="0" applyFont="1" applyAlignment="1">
      <alignment wrapText="1"/>
    </xf>
    <xf numFmtId="0" fontId="24" fillId="0" borderId="0" xfId="0" applyFont="1"/>
    <xf numFmtId="0" fontId="5" fillId="0" borderId="0" xfId="0" applyFont="1" applyAlignment="1">
      <alignment wrapText="1"/>
    </xf>
    <xf numFmtId="0" fontId="25" fillId="0" borderId="0" xfId="0" applyFont="1"/>
    <xf numFmtId="0" fontId="37" fillId="0" borderId="0" xfId="6" applyFont="1" applyAlignment="1" applyProtection="1">
      <alignment vertical="top" wrapText="1"/>
    </xf>
    <xf numFmtId="0" fontId="6" fillId="0" borderId="57" xfId="0" applyFont="1" applyBorder="1"/>
    <xf numFmtId="0" fontId="8" fillId="3" borderId="42" xfId="0" applyFont="1" applyFill="1" applyBorder="1"/>
    <xf numFmtId="2" fontId="8" fillId="0" borderId="44" xfId="0" applyNumberFormat="1" applyFont="1" applyBorder="1"/>
    <xf numFmtId="0" fontId="8" fillId="3" borderId="5" xfId="0" applyFont="1" applyFill="1" applyBorder="1"/>
    <xf numFmtId="1" fontId="8" fillId="0" borderId="35" xfId="1" applyNumberFormat="1" applyFont="1" applyFill="1" applyBorder="1" applyAlignment="1" applyProtection="1">
      <alignment horizontal="center"/>
    </xf>
    <xf numFmtId="164" fontId="8" fillId="0" borderId="25" xfId="5" applyFont="1" applyFill="1" applyBorder="1" applyProtection="1"/>
    <xf numFmtId="166" fontId="8" fillId="8" borderId="17" xfId="1" applyFont="1" applyFill="1" applyBorder="1" applyAlignment="1" applyProtection="1">
      <alignment vertical="center"/>
      <protection locked="0"/>
    </xf>
    <xf numFmtId="0" fontId="6" fillId="0" borderId="2" xfId="0" applyFont="1" applyBorder="1"/>
    <xf numFmtId="14" fontId="8" fillId="4" borderId="4" xfId="0" applyNumberFormat="1" applyFont="1" applyFill="1" applyBorder="1"/>
    <xf numFmtId="14" fontId="8" fillId="4" borderId="5" xfId="0" applyNumberFormat="1" applyFont="1" applyFill="1" applyBorder="1"/>
    <xf numFmtId="0" fontId="8" fillId="4" borderId="7" xfId="0" applyFont="1" applyFill="1" applyBorder="1"/>
    <xf numFmtId="4" fontId="8" fillId="0" borderId="16" xfId="0" applyNumberFormat="1" applyFont="1" applyBorder="1" applyAlignment="1">
      <alignment horizontal="center"/>
    </xf>
    <xf numFmtId="4" fontId="8" fillId="0" borderId="10" xfId="0" applyNumberFormat="1" applyFont="1" applyBorder="1" applyAlignment="1">
      <alignment horizontal="center"/>
    </xf>
    <xf numFmtId="0" fontId="8" fillId="4" borderId="7" xfId="0" applyFont="1" applyFill="1" applyBorder="1" applyAlignment="1">
      <alignment wrapText="1"/>
    </xf>
    <xf numFmtId="4" fontId="8" fillId="0" borderId="8" xfId="0" applyNumberFormat="1" applyFont="1" applyBorder="1" applyAlignment="1">
      <alignment horizontal="center"/>
    </xf>
    <xf numFmtId="0" fontId="6" fillId="4" borderId="14" xfId="0" applyFont="1" applyFill="1" applyBorder="1" applyAlignment="1">
      <alignment wrapText="1"/>
    </xf>
    <xf numFmtId="4" fontId="38" fillId="0" borderId="15" xfId="0" applyNumberFormat="1" applyFont="1" applyBorder="1" applyProtection="1">
      <protection locked="0"/>
    </xf>
    <xf numFmtId="4" fontId="8" fillId="0" borderId="10" xfId="1" applyNumberFormat="1" applyFont="1" applyBorder="1" applyProtection="1"/>
    <xf numFmtId="4" fontId="8" fillId="0" borderId="1" xfId="1" applyNumberFormat="1" applyFont="1" applyBorder="1" applyProtection="1"/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4" fontId="8" fillId="0" borderId="33" xfId="1" applyNumberFormat="1" applyFont="1" applyBorder="1" applyProtection="1"/>
    <xf numFmtId="4" fontId="8" fillId="0" borderId="15" xfId="1" applyNumberFormat="1" applyFont="1" applyBorder="1" applyProtection="1"/>
    <xf numFmtId="0" fontId="6" fillId="0" borderId="48" xfId="0" applyFont="1" applyBorder="1"/>
    <xf numFmtId="0" fontId="6" fillId="0" borderId="58" xfId="0" applyFont="1" applyBorder="1"/>
    <xf numFmtId="0" fontId="8" fillId="3" borderId="59" xfId="0" applyFont="1" applyFill="1" applyBorder="1"/>
    <xf numFmtId="14" fontId="6" fillId="0" borderId="60" xfId="0" applyNumberFormat="1" applyFont="1" applyBorder="1"/>
    <xf numFmtId="168" fontId="4" fillId="0" borderId="0" xfId="0" applyNumberFormat="1" applyFont="1"/>
    <xf numFmtId="4" fontId="38" fillId="8" borderId="34" xfId="0" applyNumberFormat="1" applyFont="1" applyFill="1" applyBorder="1" applyProtection="1">
      <protection locked="0"/>
    </xf>
    <xf numFmtId="4" fontId="38" fillId="8" borderId="33" xfId="0" applyNumberFormat="1" applyFont="1" applyFill="1" applyBorder="1" applyProtection="1">
      <protection locked="0"/>
    </xf>
    <xf numFmtId="14" fontId="8" fillId="3" borderId="48" xfId="0" applyNumberFormat="1" applyFont="1" applyFill="1" applyBorder="1" applyAlignment="1">
      <alignment wrapText="1"/>
    </xf>
    <xf numFmtId="170" fontId="4" fillId="0" borderId="0" xfId="0" applyNumberFormat="1" applyFont="1"/>
    <xf numFmtId="1" fontId="8" fillId="8" borderId="1" xfId="0" applyNumberFormat="1" applyFont="1" applyFill="1" applyBorder="1" applyAlignment="1" applyProtection="1">
      <alignment horizontal="center"/>
      <protection locked="0"/>
    </xf>
    <xf numFmtId="3" fontId="8" fillId="0" borderId="1" xfId="1" applyNumberFormat="1" applyFont="1" applyFill="1" applyBorder="1" applyAlignment="1" applyProtection="1">
      <alignment horizontal="center"/>
    </xf>
    <xf numFmtId="2" fontId="8" fillId="0" borderId="1" xfId="0" applyNumberFormat="1" applyFont="1" applyBorder="1"/>
    <xf numFmtId="169" fontId="8" fillId="0" borderId="29" xfId="5" applyNumberFormat="1" applyFont="1" applyFill="1" applyBorder="1" applyAlignment="1" applyProtection="1">
      <alignment horizontal="center"/>
    </xf>
    <xf numFmtId="169" fontId="8" fillId="0" borderId="29" xfId="0" applyNumberFormat="1" applyFont="1" applyBorder="1" applyAlignment="1">
      <alignment horizontal="center"/>
    </xf>
    <xf numFmtId="2" fontId="8" fillId="0" borderId="0" xfId="0" applyNumberFormat="1" applyFont="1"/>
    <xf numFmtId="0" fontId="22" fillId="0" borderId="0" xfId="6"/>
    <xf numFmtId="0" fontId="8" fillId="3" borderId="38" xfId="0" applyFont="1" applyFill="1" applyBorder="1" applyAlignment="1">
      <alignment wrapText="1"/>
    </xf>
    <xf numFmtId="3" fontId="8" fillId="0" borderId="1" xfId="1" applyNumberFormat="1" applyFont="1" applyBorder="1" applyProtection="1"/>
    <xf numFmtId="3" fontId="8" fillId="0" borderId="33" xfId="1" applyNumberFormat="1" applyFont="1" applyBorder="1" applyProtection="1"/>
    <xf numFmtId="166" fontId="6" fillId="5" borderId="0" xfId="1" applyFont="1" applyFill="1" applyBorder="1" applyProtection="1"/>
    <xf numFmtId="14" fontId="8" fillId="8" borderId="1" xfId="0" applyNumberFormat="1" applyFont="1" applyFill="1" applyBorder="1" applyProtection="1">
      <protection locked="0"/>
    </xf>
    <xf numFmtId="169" fontId="8" fillId="0" borderId="33" xfId="0" applyNumberFormat="1" applyFont="1" applyBorder="1" applyAlignment="1">
      <alignment horizontal="center"/>
    </xf>
    <xf numFmtId="166" fontId="8" fillId="0" borderId="0" xfId="1" applyFont="1" applyBorder="1" applyAlignment="1" applyProtection="1">
      <alignment wrapText="1"/>
    </xf>
    <xf numFmtId="4" fontId="8" fillId="2" borderId="50" xfId="1" applyNumberFormat="1" applyFont="1" applyFill="1" applyBorder="1" applyProtection="1"/>
    <xf numFmtId="166" fontId="8" fillId="0" borderId="0" xfId="1" applyFont="1" applyFill="1" applyBorder="1" applyAlignment="1"/>
    <xf numFmtId="0" fontId="39" fillId="8" borderId="40" xfId="0" applyFont="1" applyFill="1" applyBorder="1" applyAlignment="1">
      <alignment horizontal="center"/>
    </xf>
    <xf numFmtId="0" fontId="39" fillId="8" borderId="41" xfId="0" applyFont="1" applyFill="1" applyBorder="1" applyAlignment="1">
      <alignment horizontal="center"/>
    </xf>
    <xf numFmtId="0" fontId="39" fillId="8" borderId="6" xfId="0" applyFont="1" applyFill="1" applyBorder="1" applyAlignment="1">
      <alignment horizontal="center"/>
    </xf>
    <xf numFmtId="0" fontId="39" fillId="8" borderId="42" xfId="0" applyFont="1" applyFill="1" applyBorder="1" applyAlignment="1">
      <alignment horizontal="center"/>
    </xf>
    <xf numFmtId="0" fontId="39" fillId="8" borderId="43" xfId="0" applyFont="1" applyFill="1" applyBorder="1" applyAlignment="1">
      <alignment horizontal="center"/>
    </xf>
    <xf numFmtId="0" fontId="39" fillId="8" borderId="44" xfId="0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8" fillId="0" borderId="0" xfId="0" applyFont="1" applyAlignment="1">
      <alignment horizontal="left" vertical="top" wrapText="1"/>
    </xf>
    <xf numFmtId="0" fontId="8" fillId="3" borderId="32" xfId="0" applyFont="1" applyFill="1" applyBorder="1" applyAlignment="1">
      <alignment horizontal="left"/>
    </xf>
    <xf numFmtId="0" fontId="8" fillId="3" borderId="33" xfId="0" applyFont="1" applyFill="1" applyBorder="1" applyAlignment="1">
      <alignment horizontal="left"/>
    </xf>
    <xf numFmtId="0" fontId="6" fillId="0" borderId="46" xfId="0" applyFont="1" applyBorder="1"/>
    <xf numFmtId="0" fontId="6" fillId="0" borderId="47" xfId="0" applyFont="1" applyBorder="1"/>
    <xf numFmtId="0" fontId="6" fillId="0" borderId="37" xfId="0" applyFont="1" applyBorder="1"/>
    <xf numFmtId="0" fontId="8" fillId="3" borderId="17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26" xfId="0" applyFont="1" applyFill="1" applyBorder="1" applyAlignment="1">
      <alignment horizontal="left"/>
    </xf>
    <xf numFmtId="0" fontId="8" fillId="3" borderId="27" xfId="0" applyFont="1" applyFill="1" applyBorder="1" applyAlignment="1">
      <alignment horizontal="left"/>
    </xf>
    <xf numFmtId="0" fontId="8" fillId="3" borderId="35" xfId="0" applyFont="1" applyFill="1" applyBorder="1" applyAlignment="1">
      <alignment horizontal="left"/>
    </xf>
    <xf numFmtId="0" fontId="8" fillId="3" borderId="25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8" fillId="3" borderId="39" xfId="0" applyFont="1" applyFill="1" applyBorder="1" applyAlignment="1">
      <alignment horizontal="left"/>
    </xf>
    <xf numFmtId="0" fontId="6" fillId="10" borderId="0" xfId="0" applyFont="1" applyFill="1" applyAlignment="1">
      <alignment horizontal="center"/>
    </xf>
    <xf numFmtId="0" fontId="39" fillId="8" borderId="53" xfId="0" applyFont="1" applyFill="1" applyBorder="1" applyAlignment="1">
      <alignment horizontal="center"/>
    </xf>
    <xf numFmtId="0" fontId="39" fillId="8" borderId="54" xfId="0" applyFont="1" applyFill="1" applyBorder="1" applyAlignment="1">
      <alignment horizontal="center"/>
    </xf>
    <xf numFmtId="0" fontId="39" fillId="8" borderId="55" xfId="0" applyFont="1" applyFill="1" applyBorder="1" applyAlignment="1">
      <alignment horizontal="center"/>
    </xf>
    <xf numFmtId="0" fontId="8" fillId="3" borderId="38" xfId="0" applyFont="1" applyFill="1" applyBorder="1" applyAlignment="1">
      <alignment horizontal="left"/>
    </xf>
    <xf numFmtId="0" fontId="6" fillId="7" borderId="0" xfId="0" applyFont="1" applyFill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2" fontId="6" fillId="0" borderId="34" xfId="0" applyNumberFormat="1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6" fillId="2" borderId="25" xfId="0" applyFont="1" applyFill="1" applyBorder="1" applyAlignment="1">
      <alignment horizontal="left" vertical="center"/>
    </xf>
    <xf numFmtId="0" fontId="6" fillId="2" borderId="51" xfId="0" applyFont="1" applyFill="1" applyBorder="1" applyAlignment="1">
      <alignment horizontal="left" vertical="center"/>
    </xf>
    <xf numFmtId="0" fontId="6" fillId="2" borderId="50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26" fillId="0" borderId="43" xfId="0" applyFont="1" applyBorder="1" applyAlignment="1">
      <alignment horizontal="center"/>
    </xf>
    <xf numFmtId="0" fontId="39" fillId="8" borderId="46" xfId="0" applyFont="1" applyFill="1" applyBorder="1" applyAlignment="1">
      <alignment horizontal="center"/>
    </xf>
    <xf numFmtId="0" fontId="39" fillId="8" borderId="47" xfId="0" applyFont="1" applyFill="1" applyBorder="1" applyAlignment="1">
      <alignment horizontal="center"/>
    </xf>
    <xf numFmtId="0" fontId="39" fillId="8" borderId="5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left" wrapText="1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wrapText="1"/>
    </xf>
    <xf numFmtId="0" fontId="6" fillId="2" borderId="16" xfId="0" applyFont="1" applyFill="1" applyBorder="1" applyAlignment="1">
      <alignment wrapText="1"/>
    </xf>
    <xf numFmtId="0" fontId="8" fillId="8" borderId="8" xfId="0" applyFont="1" applyFill="1" applyBorder="1" applyProtection="1">
      <protection locked="0"/>
    </xf>
    <xf numFmtId="0" fontId="8" fillId="8" borderId="17" xfId="0" applyFont="1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0" fontId="8" fillId="5" borderId="0" xfId="0" applyFont="1" applyFill="1" applyAlignment="1">
      <alignment horizontal="right"/>
    </xf>
    <xf numFmtId="0" fontId="8" fillId="5" borderId="49" xfId="0" applyFont="1" applyFill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7">
    <cellStyle name="Komma" xfId="1" builtinId="3"/>
    <cellStyle name="Komma 2" xfId="2" xr:uid="{00000000-0005-0000-0000-000001000000}"/>
    <cellStyle name="Komma 3" xfId="3" xr:uid="{00000000-0005-0000-0000-000002000000}"/>
    <cellStyle name="Link" xfId="6" builtinId="8"/>
    <cellStyle name="Normal" xfId="0" builtinId="0"/>
    <cellStyle name="Normal 2" xfId="4" xr:uid="{00000000-0005-0000-0000-000005000000}"/>
    <cellStyle name="Valuta" xfId="5" builtinId="4"/>
  </cellStyles>
  <dxfs count="7">
    <dxf>
      <font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164" formatCode="_ &quot;kr.&quot;\ * #,##0.00_ ;_ &quot;kr.&quot;\ * \-#,##0.00_ ;_ &quot;kr.&quot;\ * &quot;-&quot;??_ ;_ @_ 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169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8"/>
        <color auto="1"/>
        <name val="Verdana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indent="0" justifyLastLine="0" shrinkToFit="0" readingOrder="0"/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anskerhverv.sharepoint.com/sites/DE-LnogOverenskomst/Delte%20dokumenter/Overenskomst/Beregnere/BPA/BPA%20L&#248;n%20Beregner%20April%202024%20-%20&#229;ben%20version%20inkl.%20engangsvederlag%20fra%20LOBPA.xlsx" TargetMode="External"/><Relationship Id="rId1" Type="http://schemas.openxmlformats.org/officeDocument/2006/relationships/externalLinkPath" Target="BPA%20L&#248;n%20Beregner%20April%202024%20-%20&#229;ben%20version%20inkl.%20engangsvederlag%20fra%20LOB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ministration"/>
      <sheetName val="Forudsætninger"/>
      <sheetName val="BPA-HHOK"/>
      <sheetName val="SOSU-OK"/>
      <sheetName val="Budgetark"/>
    </sheetNames>
    <sheetDataSet>
      <sheetData sheetId="0"/>
      <sheetData sheetId="1">
        <row r="73">
          <cell r="H73" t="str">
            <v>SOSUHjælper</v>
          </cell>
          <cell r="I73">
            <v>1244</v>
          </cell>
          <cell r="K73">
            <v>1962.5966000000001</v>
          </cell>
        </row>
        <row r="74">
          <cell r="H74" t="str">
            <v>SOSUAssistent</v>
          </cell>
          <cell r="I74">
            <v>1330</v>
          </cell>
          <cell r="K74">
            <v>2098.2745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C41:E58" totalsRowShown="0" headerRowDxfId="6" headerRowBorderDxfId="5" tableBorderDxfId="4" totalsRowBorderDxfId="3">
  <tableColumns count="3">
    <tableColumn id="1" xr3:uid="{00000000-0010-0000-0000-000001000000}" name="Årsfremskrivning " dataDxfId="2" dataCellStyle="Komma"/>
    <tableColumn id="2" xr3:uid="{00000000-0010-0000-0000-000002000000}" name="Generel pris- og lønstigning, pct." dataDxfId="1"/>
    <tableColumn id="3" xr3:uid="{00000000-0010-0000-0000-000003000000}" name="Pristals-reguleret lønadm.takst" dataDxfId="0" dataCellStyle="Valuta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kl.dk/okonomi-og-administration/okonomi-og-styring/kommunal-oekonomi-a-z/" TargetMode="External"/><Relationship Id="rId1" Type="http://schemas.openxmlformats.org/officeDocument/2006/relationships/hyperlink" Target="https://www.danskerhverv.dk/politik-og-analyser/velfard/bpa---beregner/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tabSelected="1" workbookViewId="0">
      <selection activeCell="C8" sqref="C8"/>
    </sheetView>
  </sheetViews>
  <sheetFormatPr defaultColWidth="9.375" defaultRowHeight="10.65" x14ac:dyDescent="0.2"/>
  <cols>
    <col min="1" max="1" width="11.875" style="2" customWidth="1"/>
    <col min="2" max="2" width="52.5" style="2" customWidth="1"/>
    <col min="3" max="3" width="22.375" style="2" customWidth="1"/>
    <col min="4" max="4" width="22" style="2" customWidth="1"/>
    <col min="5" max="5" width="18.125" style="2" customWidth="1"/>
    <col min="6" max="6" width="17.875" style="2" bestFit="1" customWidth="1"/>
    <col min="7" max="16384" width="9.375" style="2"/>
  </cols>
  <sheetData>
    <row r="1" spans="1:6" ht="21.3" x14ac:dyDescent="0.35">
      <c r="A1" s="1" t="s">
        <v>258</v>
      </c>
    </row>
    <row r="2" spans="1:6" ht="14.25" customHeight="1" thickBot="1" x14ac:dyDescent="0.4">
      <c r="A2" s="1"/>
    </row>
    <row r="3" spans="1:6" ht="15.05" x14ac:dyDescent="0.3">
      <c r="A3" s="310" t="s">
        <v>299</v>
      </c>
      <c r="B3" s="311"/>
      <c r="C3" s="311"/>
      <c r="D3" s="311"/>
      <c r="E3" s="311"/>
      <c r="F3" s="312"/>
    </row>
    <row r="4" spans="1:6" ht="15.65" thickBot="1" x14ac:dyDescent="0.35">
      <c r="A4" s="313" t="s">
        <v>300</v>
      </c>
      <c r="B4" s="314"/>
      <c r="C4" s="314"/>
      <c r="D4" s="314"/>
      <c r="E4" s="314"/>
      <c r="F4" s="315"/>
    </row>
    <row r="5" spans="1:6" ht="11.3" thickBot="1" x14ac:dyDescent="0.25"/>
    <row r="6" spans="1:6" x14ac:dyDescent="0.2">
      <c r="A6" s="4" t="s">
        <v>124</v>
      </c>
      <c r="B6" s="5"/>
      <c r="C6" s="5"/>
      <c r="D6" s="5"/>
      <c r="E6" s="5"/>
      <c r="F6" s="6"/>
    </row>
    <row r="7" spans="1:6" x14ac:dyDescent="0.2">
      <c r="A7" s="7"/>
      <c r="F7" s="8" t="s">
        <v>249</v>
      </c>
    </row>
    <row r="8" spans="1:6" x14ac:dyDescent="0.2">
      <c r="A8" s="7"/>
      <c r="B8" s="9" t="s">
        <v>251</v>
      </c>
      <c r="C8" s="57" t="s">
        <v>290</v>
      </c>
      <c r="D8" s="10" t="e">
        <f>IF(C8="BPA-HHOK",Budgetark!B22,Budgetark!C22)</f>
        <v>#DIV/0!</v>
      </c>
      <c r="F8" s="11"/>
    </row>
    <row r="9" spans="1:6" x14ac:dyDescent="0.2">
      <c r="A9" s="7"/>
      <c r="B9" s="2" t="s">
        <v>125</v>
      </c>
      <c r="C9" s="3"/>
      <c r="D9" s="58">
        <v>0</v>
      </c>
      <c r="F9" s="12" t="e">
        <f>D8*D9</f>
        <v>#DIV/0!</v>
      </c>
    </row>
    <row r="10" spans="1:6" x14ac:dyDescent="0.2">
      <c r="A10" s="7"/>
      <c r="B10" s="13" t="s">
        <v>248</v>
      </c>
      <c r="C10" s="13"/>
      <c r="D10" s="14">
        <f>+IF(C8="BPA-HHOK",E58*Budgetark!G6/Budgetark!G7,E58*Budgetark!J6/Budgetark!J7)</f>
        <v>2316.2399999999998</v>
      </c>
      <c r="E10" s="13"/>
      <c r="F10" s="15">
        <f>D10*F27</f>
        <v>0</v>
      </c>
    </row>
    <row r="11" spans="1:6" ht="11.3" thickBot="1" x14ac:dyDescent="0.25">
      <c r="A11" s="16"/>
      <c r="B11" s="17" t="s">
        <v>250</v>
      </c>
      <c r="C11" s="17"/>
      <c r="D11" s="18"/>
      <c r="E11" s="17"/>
      <c r="F11" s="19" t="e">
        <f>F10+F9</f>
        <v>#DIV/0!</v>
      </c>
    </row>
    <row r="12" spans="1:6" x14ac:dyDescent="0.2">
      <c r="C12" s="20"/>
      <c r="D12" s="21"/>
      <c r="E12" s="21"/>
      <c r="F12" s="21"/>
    </row>
    <row r="13" spans="1:6" x14ac:dyDescent="0.2">
      <c r="A13" s="22" t="s">
        <v>287</v>
      </c>
    </row>
    <row r="14" spans="1:6" ht="34.450000000000003" customHeight="1" x14ac:dyDescent="0.2">
      <c r="B14" s="319" t="s">
        <v>252</v>
      </c>
      <c r="C14" s="319"/>
      <c r="D14" s="319"/>
      <c r="E14" s="319"/>
      <c r="F14" s="319"/>
    </row>
    <row r="15" spans="1:6" ht="31.95" customHeight="1" x14ac:dyDescent="0.2">
      <c r="B15" s="319" t="s">
        <v>253</v>
      </c>
      <c r="C15" s="319"/>
      <c r="D15" s="319"/>
      <c r="E15" s="319"/>
      <c r="F15" s="319"/>
    </row>
    <row r="16" spans="1:6" ht="22.25" customHeight="1" x14ac:dyDescent="0.2">
      <c r="B16" s="261" t="s">
        <v>285</v>
      </c>
      <c r="C16" s="319" t="s">
        <v>284</v>
      </c>
      <c r="D16" s="319"/>
      <c r="E16" s="319"/>
      <c r="F16" s="319"/>
    </row>
    <row r="17" spans="1:6" x14ac:dyDescent="0.2">
      <c r="B17" s="23"/>
      <c r="C17" s="23"/>
      <c r="D17" s="23"/>
      <c r="E17" s="23"/>
      <c r="F17" s="23"/>
    </row>
    <row r="18" spans="1:6" x14ac:dyDescent="0.2">
      <c r="A18" s="22" t="s">
        <v>126</v>
      </c>
      <c r="B18" s="24"/>
      <c r="C18" s="24"/>
      <c r="D18" s="24"/>
      <c r="E18" s="24"/>
      <c r="F18" s="24"/>
    </row>
    <row r="19" spans="1:6" ht="42.75" customHeight="1" x14ac:dyDescent="0.2">
      <c r="B19" s="319" t="s">
        <v>254</v>
      </c>
      <c r="C19" s="319"/>
      <c r="D19" s="319"/>
      <c r="E19" s="319"/>
      <c r="F19" s="319"/>
    </row>
    <row r="20" spans="1:6" x14ac:dyDescent="0.2">
      <c r="B20" s="24"/>
      <c r="C20" s="24"/>
      <c r="D20" s="24"/>
      <c r="E20" s="24"/>
      <c r="F20" s="24"/>
    </row>
    <row r="21" spans="1:6" x14ac:dyDescent="0.2">
      <c r="A21" s="25" t="s">
        <v>127</v>
      </c>
    </row>
    <row r="22" spans="1:6" x14ac:dyDescent="0.2">
      <c r="B22" s="2" t="s">
        <v>128</v>
      </c>
    </row>
    <row r="23" spans="1:6" x14ac:dyDescent="0.2">
      <c r="B23" s="26" t="s">
        <v>273</v>
      </c>
    </row>
    <row r="24" spans="1:6" x14ac:dyDescent="0.2">
      <c r="B24" s="26" t="s">
        <v>129</v>
      </c>
    </row>
    <row r="26" spans="1:6" ht="21.3" x14ac:dyDescent="0.2">
      <c r="A26" s="27"/>
      <c r="B26" s="28" t="s">
        <v>255</v>
      </c>
      <c r="C26" s="29" t="str">
        <f>+C30</f>
        <v xml:space="preserve">Faste hjælpere </v>
      </c>
      <c r="D26" s="29" t="str">
        <f>+D30</f>
        <v xml:space="preserve">Afløsere/vikar </v>
      </c>
      <c r="E26" s="29" t="str">
        <f>+E30</f>
        <v xml:space="preserve">Personale-omsætning </v>
      </c>
      <c r="F26" s="30" t="str">
        <f>+F30</f>
        <v>Total hjælper tilknytning i team</v>
      </c>
    </row>
    <row r="27" spans="1:6" x14ac:dyDescent="0.2">
      <c r="B27" s="31">
        <f>IF(C8="BPA-HHOK",'BPA-HHOK'!F47,'SOSU-OK'!F47)</f>
        <v>0</v>
      </c>
      <c r="C27" s="32">
        <f>IF(B27&gt;72,ROUNDUP(B27/24,0),IF(AND(20&gt;B27,B27&gt;0),2,IF(AND(40&gt;B27,B27&gt;0),3,IF(AND(73&gt;B27,B27&gt;0),4,0))))</f>
        <v>0</v>
      </c>
      <c r="D27" s="32">
        <f>ROUNDUP(C27/4,0)</f>
        <v>0</v>
      </c>
      <c r="E27" s="32">
        <f>ROUND((C27+D27)*0.3,0)</f>
        <v>0</v>
      </c>
      <c r="F27" s="33">
        <f>+E27+D27+C27</f>
        <v>0</v>
      </c>
    </row>
    <row r="28" spans="1:6" ht="11.3" thickBot="1" x14ac:dyDescent="0.25"/>
    <row r="29" spans="1:6" x14ac:dyDescent="0.2">
      <c r="A29" s="316" t="s">
        <v>130</v>
      </c>
      <c r="B29" s="317"/>
      <c r="C29" s="317"/>
      <c r="D29" s="317"/>
      <c r="E29" s="317"/>
      <c r="F29" s="318"/>
    </row>
    <row r="30" spans="1:6" ht="21.3" x14ac:dyDescent="0.2">
      <c r="A30" s="34" t="s">
        <v>257</v>
      </c>
      <c r="B30" s="35" t="s">
        <v>131</v>
      </c>
      <c r="C30" s="36" t="s">
        <v>132</v>
      </c>
      <c r="D30" s="36" t="s">
        <v>133</v>
      </c>
      <c r="E30" s="37" t="s">
        <v>256</v>
      </c>
      <c r="F30" s="38" t="s">
        <v>134</v>
      </c>
    </row>
    <row r="31" spans="1:6" x14ac:dyDescent="0.2">
      <c r="A31" s="39" t="s">
        <v>135</v>
      </c>
      <c r="B31" s="2" t="s">
        <v>136</v>
      </c>
      <c r="C31" s="40">
        <v>2</v>
      </c>
      <c r="D31" s="40">
        <v>1</v>
      </c>
      <c r="E31" s="41">
        <f>SUM(C31:D31)*0.3</f>
        <v>0.89999999999999991</v>
      </c>
      <c r="F31" s="42">
        <f>+E31+D31+C31</f>
        <v>3.9</v>
      </c>
    </row>
    <row r="32" spans="1:6" x14ac:dyDescent="0.2">
      <c r="A32" s="43" t="s">
        <v>137</v>
      </c>
      <c r="B32" s="2" t="s">
        <v>136</v>
      </c>
      <c r="C32" s="40">
        <v>3</v>
      </c>
      <c r="D32" s="40">
        <v>1</v>
      </c>
      <c r="E32" s="41">
        <f t="shared" ref="E32:E33" si="0">SUM(C32:D32)*0.3</f>
        <v>1.2</v>
      </c>
      <c r="F32" s="42">
        <f t="shared" ref="F32:F33" si="1">+E32+D32+C32</f>
        <v>5.2</v>
      </c>
    </row>
    <row r="33" spans="1:6" x14ac:dyDescent="0.2">
      <c r="A33" s="43" t="s">
        <v>138</v>
      </c>
      <c r="B33" s="2" t="s">
        <v>136</v>
      </c>
      <c r="C33" s="40">
        <v>4</v>
      </c>
      <c r="D33" s="40">
        <v>1</v>
      </c>
      <c r="E33" s="41">
        <f t="shared" si="0"/>
        <v>1.5</v>
      </c>
      <c r="F33" s="42">
        <f t="shared" si="1"/>
        <v>6.5</v>
      </c>
    </row>
    <row r="34" spans="1:6" x14ac:dyDescent="0.2">
      <c r="A34" s="44" t="s">
        <v>139</v>
      </c>
      <c r="B34" s="13" t="s">
        <v>140</v>
      </c>
      <c r="C34" s="45" t="s">
        <v>141</v>
      </c>
      <c r="D34" s="45" t="s">
        <v>141</v>
      </c>
      <c r="E34" s="46" t="s">
        <v>141</v>
      </c>
      <c r="F34" s="47" t="s">
        <v>260</v>
      </c>
    </row>
    <row r="35" spans="1:6" ht="11.3" thickBot="1" x14ac:dyDescent="0.25">
      <c r="A35" s="48"/>
      <c r="B35" s="49" t="s">
        <v>142</v>
      </c>
      <c r="C35" s="49"/>
      <c r="D35" s="49"/>
      <c r="E35" s="49"/>
      <c r="F35" s="50"/>
    </row>
    <row r="38" spans="1:6" x14ac:dyDescent="0.2">
      <c r="A38" s="27" t="s">
        <v>143</v>
      </c>
    </row>
    <row r="39" spans="1:6" x14ac:dyDescent="0.2">
      <c r="B39" s="2" t="s">
        <v>144</v>
      </c>
    </row>
    <row r="40" spans="1:6" ht="13.15" x14ac:dyDescent="0.25">
      <c r="B40" s="300" t="s">
        <v>434</v>
      </c>
    </row>
    <row r="41" spans="1:6" ht="35.1" customHeight="1" x14ac:dyDescent="0.2">
      <c r="C41" s="51" t="s">
        <v>261</v>
      </c>
      <c r="D41" s="52" t="s">
        <v>229</v>
      </c>
      <c r="E41" s="53" t="s">
        <v>428</v>
      </c>
    </row>
    <row r="42" spans="1:6" x14ac:dyDescent="0.2">
      <c r="C42" s="54">
        <v>2009</v>
      </c>
      <c r="D42" s="55">
        <v>0</v>
      </c>
      <c r="E42" s="56">
        <v>1643</v>
      </c>
    </row>
    <row r="43" spans="1:6" x14ac:dyDescent="0.2">
      <c r="C43" s="54">
        <v>2010</v>
      </c>
      <c r="D43" s="55">
        <v>2.8</v>
      </c>
      <c r="E43" s="56">
        <f>ROUND(E42*(D43+100)/100,2)</f>
        <v>1689</v>
      </c>
    </row>
    <row r="44" spans="1:6" x14ac:dyDescent="0.2">
      <c r="C44" s="54">
        <v>2011</v>
      </c>
      <c r="D44" s="55">
        <v>1.1000000000000001</v>
      </c>
      <c r="E44" s="56">
        <f t="shared" ref="E44:E51" si="2">ROUND(E43*(D44+100)/100,2)</f>
        <v>1707.58</v>
      </c>
    </row>
    <row r="45" spans="1:6" x14ac:dyDescent="0.2">
      <c r="C45" s="54">
        <v>2012</v>
      </c>
      <c r="D45" s="55">
        <v>2.2999999999999998</v>
      </c>
      <c r="E45" s="56">
        <f t="shared" si="2"/>
        <v>1746.85</v>
      </c>
    </row>
    <row r="46" spans="1:6" x14ac:dyDescent="0.2">
      <c r="C46" s="54">
        <v>2013</v>
      </c>
      <c r="D46" s="55">
        <v>0.9</v>
      </c>
      <c r="E46" s="56">
        <f t="shared" si="2"/>
        <v>1762.57</v>
      </c>
    </row>
    <row r="47" spans="1:6" x14ac:dyDescent="0.2">
      <c r="C47" s="54">
        <v>2014</v>
      </c>
      <c r="D47" s="55">
        <v>1.3</v>
      </c>
      <c r="E47" s="56">
        <f t="shared" si="2"/>
        <v>1785.48</v>
      </c>
    </row>
    <row r="48" spans="1:6" x14ac:dyDescent="0.2">
      <c r="C48" s="54">
        <v>2015</v>
      </c>
      <c r="D48" s="55">
        <v>1.3</v>
      </c>
      <c r="E48" s="56">
        <f t="shared" si="2"/>
        <v>1808.69</v>
      </c>
    </row>
    <row r="49" spans="3:5" x14ac:dyDescent="0.2">
      <c r="C49" s="54">
        <v>2016</v>
      </c>
      <c r="D49" s="55">
        <v>1.5</v>
      </c>
      <c r="E49" s="56">
        <f t="shared" si="2"/>
        <v>1835.82</v>
      </c>
    </row>
    <row r="50" spans="3:5" x14ac:dyDescent="0.2">
      <c r="C50" s="54">
        <v>2017</v>
      </c>
      <c r="D50" s="55">
        <v>2</v>
      </c>
      <c r="E50" s="56">
        <f t="shared" si="2"/>
        <v>1872.54</v>
      </c>
    </row>
    <row r="51" spans="3:5" x14ac:dyDescent="0.2">
      <c r="C51" s="54">
        <v>2018</v>
      </c>
      <c r="D51" s="55">
        <v>1.3</v>
      </c>
      <c r="E51" s="56">
        <f t="shared" si="2"/>
        <v>1896.88</v>
      </c>
    </row>
    <row r="52" spans="3:5" x14ac:dyDescent="0.2">
      <c r="C52" s="54">
        <v>2019</v>
      </c>
      <c r="D52" s="55">
        <v>1.6</v>
      </c>
      <c r="E52" s="56">
        <f>ROUND(E51*(D52+100)/100,2)</f>
        <v>1927.23</v>
      </c>
    </row>
    <row r="53" spans="3:5" x14ac:dyDescent="0.2">
      <c r="C53" s="266">
        <v>2020</v>
      </c>
      <c r="D53" s="298">
        <v>2.1</v>
      </c>
      <c r="E53" s="267">
        <f t="shared" ref="E53" si="3">ROUND(E52*(D53+100)/100,2)</f>
        <v>1967.7</v>
      </c>
    </row>
    <row r="54" spans="3:5" x14ac:dyDescent="0.2">
      <c r="C54" s="266">
        <v>2021</v>
      </c>
      <c r="D54" s="297">
        <v>1.7</v>
      </c>
      <c r="E54" s="267">
        <f>ROUND(E53*(D54+100)/100,2)</f>
        <v>2001.15</v>
      </c>
    </row>
    <row r="55" spans="3:5" x14ac:dyDescent="0.2">
      <c r="C55" s="266">
        <v>2022</v>
      </c>
      <c r="D55" s="298">
        <v>3.7</v>
      </c>
      <c r="E55" s="267">
        <f>ROUND(E54*(D55+100)/100,2)</f>
        <v>2075.19</v>
      </c>
    </row>
    <row r="56" spans="3:5" x14ac:dyDescent="0.2">
      <c r="C56" s="266">
        <v>2023</v>
      </c>
      <c r="D56" s="298">
        <v>2.8</v>
      </c>
      <c r="E56" s="267">
        <f>ROUND(E55*(D56+100)/100,2)</f>
        <v>2133.3000000000002</v>
      </c>
    </row>
    <row r="57" spans="3:5" x14ac:dyDescent="0.2">
      <c r="C57" s="266">
        <v>2024</v>
      </c>
      <c r="D57" s="298">
        <v>4.5</v>
      </c>
      <c r="E57" s="267">
        <f>ROUND(E56*(D57+100)/100,2)</f>
        <v>2229.3000000000002</v>
      </c>
    </row>
    <row r="58" spans="3:5" ht="11.3" thickBot="1" x14ac:dyDescent="0.25">
      <c r="C58" s="266">
        <v>2025</v>
      </c>
      <c r="D58" s="306">
        <v>3.9</v>
      </c>
      <c r="E58" s="267">
        <f>ROUND(E57*(D58+100)/100,2)</f>
        <v>2316.2399999999998</v>
      </c>
    </row>
  </sheetData>
  <sheetProtection algorithmName="SHA-512" hashValue="O42XK2PXbdYf/LJJHx3KEGgVXDDuY2T1SUf8xq7HbIsyTdO1/D1q8ptJooSz3LVucJ/XfrbPmO1TP8QGeIMteQ==" saltValue="tk6QtGYU9Lnxs/w0maiXMw==" spinCount="100000" sheet="1" objects="1" scenarios="1"/>
  <mergeCells count="7">
    <mergeCell ref="A3:F3"/>
    <mergeCell ref="A4:F4"/>
    <mergeCell ref="A29:F29"/>
    <mergeCell ref="B14:F14"/>
    <mergeCell ref="B15:F15"/>
    <mergeCell ref="B19:F19"/>
    <mergeCell ref="C16:F16"/>
  </mergeCells>
  <dataValidations count="2">
    <dataValidation type="list" allowBlank="1" showInputMessage="1" showErrorMessage="1" sqref="C8" xr:uid="{00000000-0002-0000-0000-000000000000}">
      <formula1>"BPA-HHOK, SOSU-OK"</formula1>
    </dataValidation>
    <dataValidation allowBlank="1" showInputMessage="1" showErrorMessage="1" promptTitle="Overhead" prompt="Indsæt overheadprocent fra administrationsbidrags beregner" sqref="D9" xr:uid="{00000000-0002-0000-0000-000001000000}"/>
  </dataValidations>
  <hyperlinks>
    <hyperlink ref="B16" r:id="rId1" xr:uid="{00000000-0004-0000-0000-000000000000}"/>
    <hyperlink ref="B40" r:id="rId2" xr:uid="{00000000-0004-0000-0000-000001000000}"/>
  </hyperlinks>
  <pageMargins left="0.7" right="0.7" top="0.75" bottom="0.75" header="0.3" footer="0.3"/>
  <pageSetup paperSize="8" fitToHeight="0" orientation="portrait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11"/>
  <sheetViews>
    <sheetView workbookViewId="0"/>
  </sheetViews>
  <sheetFormatPr defaultColWidth="9.375" defaultRowHeight="10.65" outlineLevelCol="1" x14ac:dyDescent="0.2"/>
  <cols>
    <col min="1" max="1" width="36.875" style="2" customWidth="1"/>
    <col min="2" max="2" width="13.625" style="2" customWidth="1"/>
    <col min="3" max="3" width="13.5" style="2" customWidth="1"/>
    <col min="4" max="5" width="10.5" style="2" customWidth="1"/>
    <col min="6" max="6" width="13.125" style="2" customWidth="1"/>
    <col min="7" max="7" width="8" style="2" customWidth="1"/>
    <col min="8" max="8" width="25.875" style="2" customWidth="1"/>
    <col min="9" max="10" width="12.625" style="2" customWidth="1"/>
    <col min="11" max="11" width="14.375" style="2" bestFit="1" customWidth="1"/>
    <col min="12" max="12" width="9.375" style="2"/>
    <col min="13" max="14" width="9.375" style="2" customWidth="1"/>
    <col min="15" max="15" width="9.375" style="2"/>
    <col min="16" max="16" width="14.5" style="2" hidden="1" customWidth="1" outlineLevel="1"/>
    <col min="17" max="17" width="8.375" style="2" hidden="1" customWidth="1" outlineLevel="1"/>
    <col min="18" max="18" width="28.875" style="2" hidden="1" customWidth="1" outlineLevel="1"/>
    <col min="19" max="19" width="9.375" style="2" collapsed="1"/>
    <col min="20" max="20" width="9.375" style="2"/>
    <col min="21" max="21" width="21.625" style="2" customWidth="1"/>
    <col min="22" max="22" width="14" style="2" bestFit="1" customWidth="1"/>
    <col min="23" max="16384" width="9.375" style="2"/>
  </cols>
  <sheetData>
    <row r="1" spans="1:28" ht="21.3" x14ac:dyDescent="0.35">
      <c r="A1" s="1" t="s">
        <v>259</v>
      </c>
      <c r="R1" s="2" t="s">
        <v>286</v>
      </c>
    </row>
    <row r="2" spans="1:28" ht="12.7" customHeight="1" thickBot="1" x14ac:dyDescent="0.4">
      <c r="A2" s="1"/>
      <c r="R2" s="2" t="s">
        <v>424</v>
      </c>
    </row>
    <row r="3" spans="1:28" ht="16.3" thickTop="1" thickBot="1" x14ac:dyDescent="0.35">
      <c r="H3" s="334" t="s">
        <v>262</v>
      </c>
      <c r="I3" s="335"/>
      <c r="J3" s="336"/>
      <c r="R3" s="2" t="s">
        <v>432</v>
      </c>
    </row>
    <row r="4" spans="1:28" ht="15.65" thickTop="1" x14ac:dyDescent="0.25">
      <c r="A4" s="59" t="s">
        <v>211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28" x14ac:dyDescent="0.2">
      <c r="P5" s="2" t="s">
        <v>309</v>
      </c>
      <c r="Q5" s="2" t="s">
        <v>310</v>
      </c>
    </row>
    <row r="6" spans="1:28" x14ac:dyDescent="0.2">
      <c r="A6" s="338" t="s">
        <v>411</v>
      </c>
      <c r="B6" s="338"/>
      <c r="C6" s="338"/>
      <c r="D6" s="338"/>
      <c r="P6" s="2" t="s">
        <v>311</v>
      </c>
      <c r="Q6" s="2">
        <v>4</v>
      </c>
      <c r="U6" s="333" t="s">
        <v>437</v>
      </c>
      <c r="V6" s="333"/>
      <c r="W6" s="333"/>
      <c r="X6" s="333"/>
      <c r="Y6" s="333"/>
      <c r="Z6" s="333"/>
      <c r="AA6" s="333"/>
    </row>
    <row r="7" spans="1:28" ht="13.5" customHeight="1" thickBot="1" x14ac:dyDescent="0.25">
      <c r="P7" s="2" t="s">
        <v>312</v>
      </c>
      <c r="Q7" s="2">
        <v>3</v>
      </c>
    </row>
    <row r="8" spans="1:28" ht="13.5" customHeight="1" thickBot="1" x14ac:dyDescent="0.25">
      <c r="A8" s="285" t="s">
        <v>415</v>
      </c>
      <c r="B8" s="288">
        <v>45566</v>
      </c>
      <c r="C8" s="344" t="s">
        <v>416</v>
      </c>
      <c r="D8" s="344"/>
      <c r="E8" s="344"/>
      <c r="F8" s="344"/>
      <c r="G8" s="345"/>
      <c r="P8" s="2" t="s">
        <v>313</v>
      </c>
      <c r="Q8" s="2">
        <v>0</v>
      </c>
      <c r="U8" s="285" t="s">
        <v>415</v>
      </c>
      <c r="V8" s="288">
        <f>+B8</f>
        <v>45566</v>
      </c>
      <c r="W8" s="339" t="s">
        <v>416</v>
      </c>
      <c r="X8" s="340"/>
      <c r="Y8" s="340"/>
      <c r="Z8" s="340"/>
      <c r="AA8" s="341"/>
    </row>
    <row r="9" spans="1:28" ht="11.3" thickBot="1" x14ac:dyDescent="0.25">
      <c r="A9" s="286"/>
      <c r="B9" s="287" t="s">
        <v>412</v>
      </c>
      <c r="C9" s="281">
        <v>0</v>
      </c>
      <c r="D9" s="281">
        <v>1</v>
      </c>
      <c r="E9" s="281">
        <v>2</v>
      </c>
      <c r="F9" s="281">
        <v>3</v>
      </c>
      <c r="G9" s="282">
        <v>4</v>
      </c>
      <c r="P9" s="2" t="s">
        <v>314</v>
      </c>
      <c r="Q9" s="2">
        <v>4</v>
      </c>
      <c r="U9" s="286"/>
      <c r="V9" s="287" t="s">
        <v>412</v>
      </c>
      <c r="W9" s="281">
        <v>0</v>
      </c>
      <c r="X9" s="281">
        <v>1</v>
      </c>
      <c r="Y9" s="281">
        <v>2</v>
      </c>
      <c r="Z9" s="281">
        <v>3</v>
      </c>
      <c r="AA9" s="282">
        <v>4</v>
      </c>
    </row>
    <row r="10" spans="1:28" ht="10.5" customHeight="1" x14ac:dyDescent="0.2">
      <c r="A10" s="62" t="s">
        <v>413</v>
      </c>
      <c r="B10" s="302">
        <v>11</v>
      </c>
      <c r="C10" s="280">
        <v>145.55000000000001</v>
      </c>
      <c r="D10" s="280">
        <v>147.76000000000002</v>
      </c>
      <c r="E10" s="280">
        <v>149.29000000000002</v>
      </c>
      <c r="F10" s="280">
        <v>151.49</v>
      </c>
      <c r="G10" s="279">
        <v>153.02000000000001</v>
      </c>
      <c r="H10" s="2" t="s">
        <v>431</v>
      </c>
      <c r="P10" s="2" t="s">
        <v>315</v>
      </c>
      <c r="Q10" s="2">
        <v>0</v>
      </c>
      <c r="U10" s="62" t="s">
        <v>413</v>
      </c>
      <c r="V10" s="280">
        <v>11</v>
      </c>
      <c r="W10" s="280">
        <v>145.55000000000001</v>
      </c>
      <c r="X10" s="280">
        <v>147.76000000000002</v>
      </c>
      <c r="Y10" s="280">
        <v>149.29000000000002</v>
      </c>
      <c r="Z10" s="280">
        <v>151.49</v>
      </c>
      <c r="AA10" s="279">
        <v>153.02000000000001</v>
      </c>
      <c r="AB10" s="2" t="s">
        <v>431</v>
      </c>
    </row>
    <row r="11" spans="1:28" ht="21" customHeight="1" x14ac:dyDescent="0.2">
      <c r="A11" s="62" t="s">
        <v>414</v>
      </c>
      <c r="B11" s="302">
        <v>12</v>
      </c>
      <c r="C11" s="280">
        <v>148.01000000000002</v>
      </c>
      <c r="D11" s="280">
        <v>150.27000000000001</v>
      </c>
      <c r="E11" s="280">
        <v>151.84</v>
      </c>
      <c r="F11" s="280">
        <v>154.11000000000001</v>
      </c>
      <c r="G11" s="279">
        <v>155.67000000000002</v>
      </c>
      <c r="H11" s="2" t="s">
        <v>431</v>
      </c>
      <c r="P11" s="2" t="s">
        <v>316</v>
      </c>
      <c r="Q11" s="2">
        <v>0</v>
      </c>
      <c r="U11" s="62" t="s">
        <v>414</v>
      </c>
      <c r="V11" s="280">
        <v>12</v>
      </c>
      <c r="W11" s="280">
        <v>148.01000000000002</v>
      </c>
      <c r="X11" s="280">
        <v>150.27000000000001</v>
      </c>
      <c r="Y11" s="280">
        <v>151.84</v>
      </c>
      <c r="Z11" s="280">
        <v>154.11000000000001</v>
      </c>
      <c r="AA11" s="279">
        <v>155.67000000000002</v>
      </c>
      <c r="AB11" s="2" t="s">
        <v>431</v>
      </c>
    </row>
    <row r="12" spans="1:28" x14ac:dyDescent="0.2">
      <c r="A12" s="62"/>
      <c r="B12" s="302">
        <v>13</v>
      </c>
      <c r="C12" s="280">
        <v>149.61000000000001</v>
      </c>
      <c r="D12" s="280">
        <v>151.93</v>
      </c>
      <c r="E12" s="280">
        <v>153.54</v>
      </c>
      <c r="F12" s="280">
        <v>155.86000000000001</v>
      </c>
      <c r="G12" s="279">
        <v>157.47</v>
      </c>
      <c r="P12" s="2" t="s">
        <v>317</v>
      </c>
      <c r="Q12" s="2">
        <v>4</v>
      </c>
      <c r="U12" s="62"/>
      <c r="V12" s="280">
        <v>13</v>
      </c>
      <c r="W12" s="280">
        <v>150.54000000000002</v>
      </c>
      <c r="X12" s="280">
        <v>152.86000000000001</v>
      </c>
      <c r="Y12" s="280">
        <v>154.47</v>
      </c>
      <c r="Z12" s="280">
        <v>156.79000000000002</v>
      </c>
      <c r="AA12" s="279">
        <v>158.4</v>
      </c>
      <c r="AB12" s="2" t="s">
        <v>431</v>
      </c>
    </row>
    <row r="13" spans="1:28" x14ac:dyDescent="0.2">
      <c r="A13" s="62"/>
      <c r="B13" s="302">
        <v>14</v>
      </c>
      <c r="C13" s="280">
        <v>152.21</v>
      </c>
      <c r="D13" s="280">
        <v>154.59</v>
      </c>
      <c r="E13" s="280">
        <v>156.24</v>
      </c>
      <c r="F13" s="280">
        <v>158.62</v>
      </c>
      <c r="G13" s="279">
        <v>160.27000000000001</v>
      </c>
      <c r="P13" s="2" t="s">
        <v>318</v>
      </c>
      <c r="Q13" s="2">
        <v>0</v>
      </c>
      <c r="U13" s="62"/>
      <c r="V13" s="280">
        <v>14</v>
      </c>
      <c r="W13" s="280">
        <v>153.14000000000001</v>
      </c>
      <c r="X13" s="280">
        <v>155.52000000000001</v>
      </c>
      <c r="Y13" s="280">
        <v>157.17000000000002</v>
      </c>
      <c r="Z13" s="280">
        <v>159.55000000000001</v>
      </c>
      <c r="AA13" s="279">
        <v>161.20000000000002</v>
      </c>
      <c r="AB13" s="2" t="s">
        <v>431</v>
      </c>
    </row>
    <row r="14" spans="1:28" x14ac:dyDescent="0.2">
      <c r="A14" s="62"/>
      <c r="B14" s="302">
        <v>15</v>
      </c>
      <c r="C14" s="280">
        <v>154.78</v>
      </c>
      <c r="D14" s="280">
        <v>157.22</v>
      </c>
      <c r="E14" s="280">
        <v>158.91</v>
      </c>
      <c r="F14" s="280">
        <v>161.35</v>
      </c>
      <c r="G14" s="279">
        <v>163.04</v>
      </c>
      <c r="P14" s="2" t="s">
        <v>319</v>
      </c>
      <c r="Q14" s="2">
        <v>0</v>
      </c>
      <c r="U14" s="62"/>
      <c r="V14" s="280">
        <v>15</v>
      </c>
      <c r="W14" s="280">
        <v>155.71</v>
      </c>
      <c r="X14" s="280">
        <v>158.15</v>
      </c>
      <c r="Y14" s="280">
        <v>159.84</v>
      </c>
      <c r="Z14" s="280">
        <v>162.28</v>
      </c>
      <c r="AA14" s="279">
        <v>163.97</v>
      </c>
      <c r="AB14" s="2" t="s">
        <v>431</v>
      </c>
    </row>
    <row r="15" spans="1:28" x14ac:dyDescent="0.2">
      <c r="A15" s="62"/>
      <c r="B15" s="302">
        <v>16</v>
      </c>
      <c r="C15" s="280">
        <v>157.41999999999999</v>
      </c>
      <c r="D15" s="280">
        <v>159.91999999999999</v>
      </c>
      <c r="E15" s="280">
        <v>161.65</v>
      </c>
      <c r="F15" s="280">
        <v>164.15</v>
      </c>
      <c r="G15" s="279">
        <v>165.88</v>
      </c>
      <c r="P15" s="2" t="s">
        <v>320</v>
      </c>
      <c r="Q15" s="2">
        <v>4</v>
      </c>
      <c r="U15" s="62"/>
      <c r="V15" s="280">
        <v>16</v>
      </c>
      <c r="W15" s="280">
        <v>157.41999999999999</v>
      </c>
      <c r="X15" s="280">
        <v>159.91999999999999</v>
      </c>
      <c r="Y15" s="280">
        <v>161.65</v>
      </c>
      <c r="Z15" s="280">
        <v>164.15</v>
      </c>
      <c r="AA15" s="279">
        <v>165.88</v>
      </c>
    </row>
    <row r="16" spans="1:28" x14ac:dyDescent="0.2">
      <c r="A16" s="62"/>
      <c r="B16" s="302">
        <v>17</v>
      </c>
      <c r="C16" s="280">
        <v>159.6</v>
      </c>
      <c r="D16" s="280">
        <v>162.18</v>
      </c>
      <c r="E16" s="280">
        <v>163.96</v>
      </c>
      <c r="F16" s="280">
        <v>166.54</v>
      </c>
      <c r="G16" s="279">
        <v>168.32</v>
      </c>
      <c r="P16" s="2" t="s">
        <v>321</v>
      </c>
      <c r="Q16" s="2">
        <v>4</v>
      </c>
      <c r="U16" s="62"/>
      <c r="V16" s="280">
        <v>17</v>
      </c>
      <c r="W16" s="280">
        <v>159.6</v>
      </c>
      <c r="X16" s="280">
        <v>162.18</v>
      </c>
      <c r="Y16" s="280">
        <v>163.96</v>
      </c>
      <c r="Z16" s="280">
        <v>166.54</v>
      </c>
      <c r="AA16" s="279">
        <v>168.32</v>
      </c>
    </row>
    <row r="17" spans="1:27" ht="10.5" customHeight="1" x14ac:dyDescent="0.2">
      <c r="A17" s="62" t="s">
        <v>417</v>
      </c>
      <c r="B17" s="302">
        <v>18</v>
      </c>
      <c r="C17" s="280">
        <v>162.52000000000001</v>
      </c>
      <c r="D17" s="280">
        <v>165.16</v>
      </c>
      <c r="E17" s="280">
        <v>166.99</v>
      </c>
      <c r="F17" s="280">
        <v>169.63</v>
      </c>
      <c r="G17" s="279">
        <v>171.46</v>
      </c>
      <c r="P17" s="2" t="s">
        <v>322</v>
      </c>
      <c r="Q17" s="2">
        <v>1</v>
      </c>
      <c r="U17" s="62" t="s">
        <v>417</v>
      </c>
      <c r="V17" s="280">
        <v>18</v>
      </c>
      <c r="W17" s="280">
        <v>162.52000000000001</v>
      </c>
      <c r="X17" s="280">
        <v>165.16</v>
      </c>
      <c r="Y17" s="280">
        <v>166.99</v>
      </c>
      <c r="Z17" s="280">
        <v>169.63</v>
      </c>
      <c r="AA17" s="279">
        <v>171.46</v>
      </c>
    </row>
    <row r="18" spans="1:27" x14ac:dyDescent="0.2">
      <c r="A18" s="62"/>
      <c r="B18" s="302">
        <v>19</v>
      </c>
      <c r="C18" s="280">
        <v>164.7</v>
      </c>
      <c r="D18" s="280">
        <v>167.41</v>
      </c>
      <c r="E18" s="280">
        <v>169.28</v>
      </c>
      <c r="F18" s="280">
        <v>171.99</v>
      </c>
      <c r="G18" s="279">
        <v>173.87</v>
      </c>
      <c r="P18" s="2" t="s">
        <v>323</v>
      </c>
      <c r="Q18" s="2">
        <v>1</v>
      </c>
      <c r="R18" s="2" t="s">
        <v>324</v>
      </c>
      <c r="U18" s="62"/>
      <c r="V18" s="280">
        <v>19</v>
      </c>
      <c r="W18" s="280">
        <v>164.7</v>
      </c>
      <c r="X18" s="280">
        <v>167.41</v>
      </c>
      <c r="Y18" s="280">
        <v>169.28</v>
      </c>
      <c r="Z18" s="280">
        <v>171.99</v>
      </c>
      <c r="AA18" s="279">
        <v>173.87</v>
      </c>
    </row>
    <row r="19" spans="1:27" ht="21" customHeight="1" x14ac:dyDescent="0.2">
      <c r="A19" s="62" t="s">
        <v>418</v>
      </c>
      <c r="B19" s="302">
        <v>20</v>
      </c>
      <c r="C19" s="280">
        <v>166.65</v>
      </c>
      <c r="D19" s="280">
        <v>169.42</v>
      </c>
      <c r="E19" s="280">
        <v>171.35</v>
      </c>
      <c r="F19" s="280">
        <v>174.13</v>
      </c>
      <c r="G19" s="279">
        <v>176.05</v>
      </c>
      <c r="P19" s="2" t="s">
        <v>325</v>
      </c>
      <c r="Q19" s="2">
        <v>0</v>
      </c>
      <c r="U19" s="62" t="s">
        <v>418</v>
      </c>
      <c r="V19" s="280">
        <v>20</v>
      </c>
      <c r="W19" s="280">
        <v>166.65</v>
      </c>
      <c r="X19" s="280">
        <v>169.42</v>
      </c>
      <c r="Y19" s="280">
        <v>171.35</v>
      </c>
      <c r="Z19" s="280">
        <v>174.13</v>
      </c>
      <c r="AA19" s="279">
        <v>176.05</v>
      </c>
    </row>
    <row r="20" spans="1:27" x14ac:dyDescent="0.2">
      <c r="A20" s="62"/>
      <c r="B20" s="302">
        <v>21</v>
      </c>
      <c r="C20" s="280">
        <v>171.12</v>
      </c>
      <c r="D20" s="280">
        <v>173.97</v>
      </c>
      <c r="E20" s="280">
        <v>175.94</v>
      </c>
      <c r="F20" s="280">
        <v>178.79</v>
      </c>
      <c r="G20" s="279">
        <v>180.77</v>
      </c>
      <c r="P20" s="2" t="s">
        <v>326</v>
      </c>
      <c r="Q20" s="2">
        <v>0</v>
      </c>
      <c r="U20" s="62"/>
      <c r="V20" s="280">
        <v>21</v>
      </c>
      <c r="W20" s="280">
        <v>171.12</v>
      </c>
      <c r="X20" s="280">
        <v>173.97</v>
      </c>
      <c r="Y20" s="280">
        <v>175.94</v>
      </c>
      <c r="Z20" s="280">
        <v>178.79</v>
      </c>
      <c r="AA20" s="279">
        <v>180.77</v>
      </c>
    </row>
    <row r="21" spans="1:27" ht="10.5" customHeight="1" x14ac:dyDescent="0.2">
      <c r="A21" s="62" t="s">
        <v>419</v>
      </c>
      <c r="B21" s="302">
        <v>22</v>
      </c>
      <c r="C21" s="280">
        <v>171.41</v>
      </c>
      <c r="D21" s="280">
        <v>174.26</v>
      </c>
      <c r="E21" s="280">
        <v>176.24</v>
      </c>
      <c r="F21" s="280">
        <v>179.09</v>
      </c>
      <c r="G21" s="279">
        <v>181.06</v>
      </c>
      <c r="P21" s="2" t="s">
        <v>327</v>
      </c>
      <c r="Q21" s="2">
        <v>3</v>
      </c>
      <c r="U21" s="62" t="s">
        <v>419</v>
      </c>
      <c r="V21" s="280">
        <v>22</v>
      </c>
      <c r="W21" s="280">
        <v>171.41</v>
      </c>
      <c r="X21" s="280">
        <v>174.26</v>
      </c>
      <c r="Y21" s="280">
        <v>176.24</v>
      </c>
      <c r="Z21" s="280">
        <v>179.09</v>
      </c>
      <c r="AA21" s="279">
        <v>181.06</v>
      </c>
    </row>
    <row r="22" spans="1:27" x14ac:dyDescent="0.2">
      <c r="A22" s="62"/>
      <c r="B22" s="302">
        <v>23</v>
      </c>
      <c r="C22" s="280">
        <v>174.15</v>
      </c>
      <c r="D22" s="280">
        <v>176.92</v>
      </c>
      <c r="E22" s="280">
        <v>178.84</v>
      </c>
      <c r="F22" s="280">
        <v>181.61</v>
      </c>
      <c r="G22" s="279">
        <v>183.53</v>
      </c>
      <c r="P22" s="2" t="s">
        <v>328</v>
      </c>
      <c r="Q22" s="2">
        <v>0</v>
      </c>
      <c r="U22" s="62"/>
      <c r="V22" s="280">
        <v>23</v>
      </c>
      <c r="W22" s="280">
        <v>174.15</v>
      </c>
      <c r="X22" s="280">
        <v>176.92</v>
      </c>
      <c r="Y22" s="280">
        <v>178.84</v>
      </c>
      <c r="Z22" s="280">
        <v>181.61</v>
      </c>
      <c r="AA22" s="279">
        <v>183.53</v>
      </c>
    </row>
    <row r="23" spans="1:27" x14ac:dyDescent="0.2">
      <c r="A23" s="62"/>
      <c r="B23" s="302">
        <v>24</v>
      </c>
      <c r="C23" s="280">
        <v>176.97</v>
      </c>
      <c r="D23" s="280">
        <v>179.66</v>
      </c>
      <c r="E23" s="280">
        <v>181.53</v>
      </c>
      <c r="F23" s="280">
        <v>184.22</v>
      </c>
      <c r="G23" s="279">
        <v>186.08</v>
      </c>
      <c r="P23" s="2" t="s">
        <v>329</v>
      </c>
      <c r="Q23" s="2">
        <v>4</v>
      </c>
      <c r="U23" s="62"/>
      <c r="V23" s="280">
        <v>24</v>
      </c>
      <c r="W23" s="280">
        <v>176.97</v>
      </c>
      <c r="X23" s="280">
        <v>179.66</v>
      </c>
      <c r="Y23" s="280">
        <v>181.53</v>
      </c>
      <c r="Z23" s="280">
        <v>184.22</v>
      </c>
      <c r="AA23" s="279">
        <v>186.08</v>
      </c>
    </row>
    <row r="24" spans="1:27" x14ac:dyDescent="0.2">
      <c r="A24" s="62"/>
      <c r="B24" s="302">
        <v>25</v>
      </c>
      <c r="C24" s="280">
        <v>179.85</v>
      </c>
      <c r="D24" s="280">
        <v>182.46</v>
      </c>
      <c r="E24" s="280">
        <v>184.26</v>
      </c>
      <c r="F24" s="280">
        <v>186.87</v>
      </c>
      <c r="G24" s="279">
        <v>188.68</v>
      </c>
      <c r="P24" s="2" t="s">
        <v>330</v>
      </c>
      <c r="Q24" s="2">
        <v>1</v>
      </c>
      <c r="U24" s="62"/>
      <c r="V24" s="280">
        <v>25</v>
      </c>
      <c r="W24" s="280">
        <v>179.85</v>
      </c>
      <c r="X24" s="280">
        <v>182.46</v>
      </c>
      <c r="Y24" s="280">
        <v>184.26</v>
      </c>
      <c r="Z24" s="280">
        <v>186.87</v>
      </c>
      <c r="AA24" s="279">
        <v>188.68</v>
      </c>
    </row>
    <row r="25" spans="1:27" ht="21" customHeight="1" x14ac:dyDescent="0.2">
      <c r="A25" s="62" t="s">
        <v>420</v>
      </c>
      <c r="B25" s="302">
        <v>26</v>
      </c>
      <c r="C25" s="280">
        <v>182.79</v>
      </c>
      <c r="D25" s="280">
        <v>185.31</v>
      </c>
      <c r="E25" s="280">
        <v>187.06</v>
      </c>
      <c r="F25" s="280">
        <v>189.58</v>
      </c>
      <c r="G25" s="279">
        <v>191.32</v>
      </c>
      <c r="P25" s="2" t="s">
        <v>331</v>
      </c>
      <c r="Q25" s="2">
        <v>3</v>
      </c>
      <c r="U25" s="62" t="s">
        <v>420</v>
      </c>
      <c r="V25" s="280">
        <v>26</v>
      </c>
      <c r="W25" s="280">
        <v>182.79</v>
      </c>
      <c r="X25" s="280">
        <v>185.31</v>
      </c>
      <c r="Y25" s="280">
        <v>187.06</v>
      </c>
      <c r="Z25" s="280">
        <v>189.58</v>
      </c>
      <c r="AA25" s="279">
        <v>191.32</v>
      </c>
    </row>
    <row r="26" spans="1:27" x14ac:dyDescent="0.2">
      <c r="A26" s="62"/>
      <c r="B26" s="302">
        <v>27</v>
      </c>
      <c r="C26" s="280">
        <v>187.94</v>
      </c>
      <c r="D26" s="280">
        <v>190.35999999999999</v>
      </c>
      <c r="E26" s="280">
        <v>192.04</v>
      </c>
      <c r="F26" s="280">
        <v>194.46</v>
      </c>
      <c r="G26" s="279">
        <v>196.14</v>
      </c>
      <c r="P26" s="2" t="s">
        <v>332</v>
      </c>
      <c r="Q26" s="2">
        <v>4</v>
      </c>
      <c r="U26" s="62"/>
      <c r="V26" s="280">
        <v>27</v>
      </c>
      <c r="W26" s="280">
        <v>187.94</v>
      </c>
      <c r="X26" s="280">
        <v>190.35999999999999</v>
      </c>
      <c r="Y26" s="280">
        <v>192.04</v>
      </c>
      <c r="Z26" s="280">
        <v>194.46</v>
      </c>
      <c r="AA26" s="279">
        <v>196.14</v>
      </c>
    </row>
    <row r="27" spans="1:27" x14ac:dyDescent="0.2">
      <c r="A27" s="62"/>
      <c r="B27" s="302">
        <v>28</v>
      </c>
      <c r="C27" s="280">
        <v>189.48999999999998</v>
      </c>
      <c r="D27" s="280">
        <v>191.81</v>
      </c>
      <c r="E27" s="280">
        <v>193.41</v>
      </c>
      <c r="F27" s="280">
        <v>195.73</v>
      </c>
      <c r="G27" s="279">
        <v>197.34</v>
      </c>
      <c r="P27" s="2" t="s">
        <v>333</v>
      </c>
      <c r="Q27" s="2">
        <v>1</v>
      </c>
      <c r="U27" s="62"/>
      <c r="V27" s="280">
        <v>28</v>
      </c>
      <c r="W27" s="280">
        <v>189.48999999999998</v>
      </c>
      <c r="X27" s="280">
        <v>191.81</v>
      </c>
      <c r="Y27" s="280">
        <v>193.41</v>
      </c>
      <c r="Z27" s="280">
        <v>195.73</v>
      </c>
      <c r="AA27" s="279">
        <v>197.34</v>
      </c>
    </row>
    <row r="28" spans="1:27" x14ac:dyDescent="0.2">
      <c r="A28" s="62"/>
      <c r="B28" s="302">
        <v>29</v>
      </c>
      <c r="C28" s="280">
        <v>192.04</v>
      </c>
      <c r="D28" s="280">
        <v>194.25</v>
      </c>
      <c r="E28" s="280">
        <v>195.78</v>
      </c>
      <c r="F28" s="280">
        <v>197.99</v>
      </c>
      <c r="G28" s="279">
        <v>199.52</v>
      </c>
      <c r="P28" s="2" t="s">
        <v>334</v>
      </c>
      <c r="Q28" s="2">
        <v>4</v>
      </c>
      <c r="U28" s="62"/>
      <c r="V28" s="280">
        <v>29</v>
      </c>
      <c r="W28" s="280">
        <v>192.04</v>
      </c>
      <c r="X28" s="280">
        <v>194.25</v>
      </c>
      <c r="Y28" s="280">
        <v>195.78</v>
      </c>
      <c r="Z28" s="280">
        <v>197.99</v>
      </c>
      <c r="AA28" s="279">
        <v>199.52</v>
      </c>
    </row>
    <row r="29" spans="1:27" ht="21" customHeight="1" x14ac:dyDescent="0.2">
      <c r="A29" s="62" t="s">
        <v>421</v>
      </c>
      <c r="B29" s="302">
        <v>30</v>
      </c>
      <c r="C29" s="280">
        <v>195.26</v>
      </c>
      <c r="D29" s="280">
        <v>197.35</v>
      </c>
      <c r="E29" s="280">
        <v>198.8</v>
      </c>
      <c r="F29" s="280">
        <v>200.89</v>
      </c>
      <c r="G29" s="279">
        <v>202.34</v>
      </c>
      <c r="P29" s="2" t="s">
        <v>335</v>
      </c>
      <c r="Q29" s="2">
        <v>4</v>
      </c>
      <c r="U29" s="62" t="s">
        <v>421</v>
      </c>
      <c r="V29" s="280">
        <v>30</v>
      </c>
      <c r="W29" s="280">
        <v>195.26</v>
      </c>
      <c r="X29" s="280">
        <v>197.35</v>
      </c>
      <c r="Y29" s="280">
        <v>198.8</v>
      </c>
      <c r="Z29" s="280">
        <v>200.89</v>
      </c>
      <c r="AA29" s="279">
        <v>202.34</v>
      </c>
    </row>
    <row r="30" spans="1:27" x14ac:dyDescent="0.2">
      <c r="A30" s="62"/>
      <c r="B30" s="302">
        <v>31</v>
      </c>
      <c r="C30" s="280">
        <v>198.55</v>
      </c>
      <c r="D30" s="280">
        <v>200.52</v>
      </c>
      <c r="E30" s="280">
        <v>201.88</v>
      </c>
      <c r="F30" s="280">
        <v>203.85</v>
      </c>
      <c r="G30" s="279">
        <v>205.21</v>
      </c>
      <c r="P30" s="2" t="s">
        <v>336</v>
      </c>
      <c r="Q30" s="2">
        <v>4</v>
      </c>
      <c r="U30" s="62"/>
      <c r="V30" s="280">
        <v>31</v>
      </c>
      <c r="W30" s="280">
        <v>198.55</v>
      </c>
      <c r="X30" s="280">
        <v>200.52</v>
      </c>
      <c r="Y30" s="280">
        <v>201.88</v>
      </c>
      <c r="Z30" s="280">
        <v>203.85</v>
      </c>
      <c r="AA30" s="279">
        <v>205.21</v>
      </c>
    </row>
    <row r="31" spans="1:27" x14ac:dyDescent="0.2">
      <c r="A31" s="62"/>
      <c r="B31" s="302">
        <v>32</v>
      </c>
      <c r="C31" s="280">
        <v>202.51</v>
      </c>
      <c r="D31" s="280">
        <v>204.35</v>
      </c>
      <c r="E31" s="280">
        <v>205.62</v>
      </c>
      <c r="F31" s="280">
        <v>207.45</v>
      </c>
      <c r="G31" s="279">
        <v>208.72</v>
      </c>
      <c r="P31" s="2" t="s">
        <v>337</v>
      </c>
      <c r="Q31" s="2">
        <v>4</v>
      </c>
      <c r="U31" s="62"/>
      <c r="V31" s="280">
        <v>32</v>
      </c>
      <c r="W31" s="280">
        <v>202.51</v>
      </c>
      <c r="X31" s="280">
        <v>204.35</v>
      </c>
      <c r="Y31" s="280">
        <v>205.62</v>
      </c>
      <c r="Z31" s="280">
        <v>207.45</v>
      </c>
      <c r="AA31" s="279">
        <v>208.72</v>
      </c>
    </row>
    <row r="32" spans="1:27" x14ac:dyDescent="0.2">
      <c r="A32" s="62"/>
      <c r="B32" s="302">
        <v>33</v>
      </c>
      <c r="C32" s="280">
        <v>205.35</v>
      </c>
      <c r="D32" s="280">
        <v>207.04</v>
      </c>
      <c r="E32" s="280">
        <v>208.22</v>
      </c>
      <c r="F32" s="280">
        <v>209.91</v>
      </c>
      <c r="G32" s="279">
        <v>211.08</v>
      </c>
      <c r="P32" s="2" t="s">
        <v>338</v>
      </c>
      <c r="Q32" s="2">
        <v>3</v>
      </c>
      <c r="U32" s="62"/>
      <c r="V32" s="280">
        <v>33</v>
      </c>
      <c r="W32" s="280">
        <v>205.35</v>
      </c>
      <c r="X32" s="280">
        <v>207.04</v>
      </c>
      <c r="Y32" s="280">
        <v>208.22</v>
      </c>
      <c r="Z32" s="280">
        <v>209.91</v>
      </c>
      <c r="AA32" s="279">
        <v>211.08</v>
      </c>
    </row>
    <row r="33" spans="1:27" ht="11.3" thickBot="1" x14ac:dyDescent="0.25">
      <c r="A33" s="64"/>
      <c r="B33" s="303">
        <v>34</v>
      </c>
      <c r="C33" s="283">
        <v>208.86</v>
      </c>
      <c r="D33" s="283">
        <v>210.41</v>
      </c>
      <c r="E33" s="283">
        <v>211.48</v>
      </c>
      <c r="F33" s="283">
        <v>213.03</v>
      </c>
      <c r="G33" s="284">
        <v>214.1</v>
      </c>
      <c r="P33" s="2" t="s">
        <v>339</v>
      </c>
      <c r="Q33" s="2">
        <v>0</v>
      </c>
      <c r="U33" s="64"/>
      <c r="V33" s="283">
        <v>34</v>
      </c>
      <c r="W33" s="283">
        <v>208.86</v>
      </c>
      <c r="X33" s="283">
        <v>210.41</v>
      </c>
      <c r="Y33" s="283">
        <v>211.48</v>
      </c>
      <c r="Z33" s="283">
        <v>213.03</v>
      </c>
      <c r="AA33" s="284">
        <v>214.1</v>
      </c>
    </row>
    <row r="34" spans="1:27" x14ac:dyDescent="0.2">
      <c r="P34" s="2" t="s">
        <v>340</v>
      </c>
      <c r="Q34" s="2">
        <v>0</v>
      </c>
    </row>
    <row r="35" spans="1:27" x14ac:dyDescent="0.2">
      <c r="P35" s="2" t="s">
        <v>341</v>
      </c>
      <c r="Q35" s="2">
        <v>3</v>
      </c>
    </row>
    <row r="36" spans="1:27" x14ac:dyDescent="0.2">
      <c r="A36" s="338" t="s">
        <v>291</v>
      </c>
      <c r="B36" s="338"/>
      <c r="C36" s="338"/>
      <c r="D36" s="338"/>
      <c r="H36" s="338" t="s">
        <v>215</v>
      </c>
      <c r="I36" s="338"/>
      <c r="J36" s="338"/>
      <c r="K36" s="338"/>
      <c r="P36" s="2" t="s">
        <v>342</v>
      </c>
      <c r="Q36" s="2">
        <v>0</v>
      </c>
    </row>
    <row r="37" spans="1:27" x14ac:dyDescent="0.2">
      <c r="P37" s="2" t="s">
        <v>343</v>
      </c>
      <c r="Q37" s="2">
        <v>3</v>
      </c>
    </row>
    <row r="38" spans="1:27" ht="11.3" thickBot="1" x14ac:dyDescent="0.25">
      <c r="P38" s="2" t="s">
        <v>344</v>
      </c>
      <c r="Q38" s="2">
        <v>4</v>
      </c>
    </row>
    <row r="39" spans="1:27" ht="11.3" thickBot="1" x14ac:dyDescent="0.25">
      <c r="A39" s="60" t="s">
        <v>202</v>
      </c>
      <c r="B39" s="61" t="s">
        <v>195</v>
      </c>
      <c r="H39" s="60" t="s">
        <v>202</v>
      </c>
      <c r="I39" s="61" t="s">
        <v>195</v>
      </c>
      <c r="P39" s="2" t="s">
        <v>345</v>
      </c>
      <c r="Q39" s="2">
        <v>0</v>
      </c>
    </row>
    <row r="40" spans="1:27" x14ac:dyDescent="0.2">
      <c r="A40" s="62" t="s">
        <v>189</v>
      </c>
      <c r="B40" s="63">
        <v>0.35120000000000001</v>
      </c>
      <c r="H40" s="62" t="s">
        <v>189</v>
      </c>
      <c r="I40" s="63">
        <v>0.35120000000000001</v>
      </c>
      <c r="P40" s="2" t="s">
        <v>346</v>
      </c>
      <c r="Q40" s="2">
        <v>3</v>
      </c>
    </row>
    <row r="41" spans="1:27" x14ac:dyDescent="0.2">
      <c r="A41" s="62" t="s">
        <v>190</v>
      </c>
      <c r="B41" s="63">
        <v>0.3926</v>
      </c>
      <c r="H41" s="62" t="s">
        <v>190</v>
      </c>
      <c r="I41" s="63">
        <v>0.3926</v>
      </c>
      <c r="P41" s="2" t="s">
        <v>347</v>
      </c>
      <c r="Q41" s="2">
        <v>0</v>
      </c>
    </row>
    <row r="42" spans="1:27" x14ac:dyDescent="0.2">
      <c r="A42" s="62" t="s">
        <v>191</v>
      </c>
      <c r="B42" s="63">
        <v>0.31709999999999999</v>
      </c>
      <c r="H42" s="62" t="s">
        <v>191</v>
      </c>
      <c r="I42" s="63">
        <v>0.31709999999999999</v>
      </c>
      <c r="P42" s="2" t="s">
        <v>348</v>
      </c>
      <c r="Q42" s="2">
        <v>0</v>
      </c>
    </row>
    <row r="43" spans="1:27" x14ac:dyDescent="0.2">
      <c r="A43" s="62" t="s">
        <v>192</v>
      </c>
      <c r="B43" s="63">
        <v>0.5</v>
      </c>
      <c r="H43" s="62" t="s">
        <v>192</v>
      </c>
      <c r="I43" s="63">
        <v>0.5</v>
      </c>
      <c r="P43" s="2" t="s">
        <v>349</v>
      </c>
      <c r="Q43" s="2">
        <v>0</v>
      </c>
    </row>
    <row r="44" spans="1:27" x14ac:dyDescent="0.2">
      <c r="A44" s="62" t="s">
        <v>193</v>
      </c>
      <c r="B44" s="63">
        <v>0.5</v>
      </c>
      <c r="H44" s="62" t="s">
        <v>193</v>
      </c>
      <c r="I44" s="63">
        <v>0.5</v>
      </c>
      <c r="P44" s="2" t="s">
        <v>350</v>
      </c>
      <c r="Q44" s="2">
        <v>0</v>
      </c>
    </row>
    <row r="45" spans="1:27" ht="11.3" thickBot="1" x14ac:dyDescent="0.25">
      <c r="A45" s="64" t="s">
        <v>194</v>
      </c>
      <c r="B45" s="65">
        <v>0.75</v>
      </c>
      <c r="H45" s="64" t="s">
        <v>194</v>
      </c>
      <c r="I45" s="65">
        <v>0.75</v>
      </c>
      <c r="P45" s="2" t="s">
        <v>351</v>
      </c>
      <c r="Q45" s="2">
        <v>4</v>
      </c>
    </row>
    <row r="46" spans="1:27" ht="11.3" thickBot="1" x14ac:dyDescent="0.25">
      <c r="P46" s="2" t="s">
        <v>352</v>
      </c>
      <c r="Q46" s="2">
        <v>4</v>
      </c>
    </row>
    <row r="47" spans="1:27" ht="11.3" thickBot="1" x14ac:dyDescent="0.25">
      <c r="A47" s="60" t="s">
        <v>200</v>
      </c>
      <c r="B47" s="61" t="s">
        <v>156</v>
      </c>
      <c r="H47" s="60" t="s">
        <v>200</v>
      </c>
      <c r="I47" s="61" t="s">
        <v>156</v>
      </c>
      <c r="P47" s="2" t="s">
        <v>353</v>
      </c>
      <c r="Q47" s="2">
        <v>3</v>
      </c>
    </row>
    <row r="48" spans="1:27" x14ac:dyDescent="0.2">
      <c r="A48" s="62" t="s">
        <v>35</v>
      </c>
      <c r="B48" s="63">
        <v>0.125</v>
      </c>
      <c r="H48" s="62" t="s">
        <v>35</v>
      </c>
      <c r="I48" s="63">
        <v>0.125</v>
      </c>
      <c r="P48" s="2" t="s">
        <v>354</v>
      </c>
      <c r="Q48" s="2">
        <v>0</v>
      </c>
    </row>
    <row r="49" spans="1:17" ht="11.3" thickBot="1" x14ac:dyDescent="0.25">
      <c r="A49" s="64" t="s">
        <v>37</v>
      </c>
      <c r="B49" s="65">
        <v>2.2499999999999999E-2</v>
      </c>
      <c r="H49" s="64" t="s">
        <v>37</v>
      </c>
      <c r="I49" s="65">
        <v>2.5000000000000001E-2</v>
      </c>
      <c r="P49" s="2" t="s">
        <v>355</v>
      </c>
      <c r="Q49" s="2">
        <v>4</v>
      </c>
    </row>
    <row r="50" spans="1:17" ht="11.3" thickBot="1" x14ac:dyDescent="0.25">
      <c r="P50" s="2" t="s">
        <v>356</v>
      </c>
      <c r="Q50" s="2">
        <v>0</v>
      </c>
    </row>
    <row r="51" spans="1:17" ht="11.3" thickBot="1" x14ac:dyDescent="0.25">
      <c r="A51" s="60" t="s">
        <v>201</v>
      </c>
      <c r="B51" s="61" t="s">
        <v>156</v>
      </c>
      <c r="H51" s="60" t="s">
        <v>187</v>
      </c>
      <c r="I51" s="61" t="s">
        <v>156</v>
      </c>
      <c r="P51" s="2" t="s">
        <v>357</v>
      </c>
      <c r="Q51" s="2">
        <v>1</v>
      </c>
    </row>
    <row r="52" spans="1:17" x14ac:dyDescent="0.2">
      <c r="A52" s="62" t="s">
        <v>188</v>
      </c>
      <c r="B52" s="63">
        <v>0.13</v>
      </c>
      <c r="H52" s="62" t="s">
        <v>188</v>
      </c>
      <c r="I52" s="63">
        <f>13%+1.29%</f>
        <v>0.1429</v>
      </c>
      <c r="J52" s="2" t="s">
        <v>212</v>
      </c>
      <c r="P52" s="2" t="s">
        <v>358</v>
      </c>
      <c r="Q52" s="2">
        <v>1</v>
      </c>
    </row>
    <row r="53" spans="1:17" x14ac:dyDescent="0.2">
      <c r="A53" s="62" t="s">
        <v>40</v>
      </c>
      <c r="B53" s="63">
        <v>7.8200000000000006E-2</v>
      </c>
      <c r="H53" s="62" t="s">
        <v>40</v>
      </c>
      <c r="I53" s="63">
        <v>7.8200000000000006E-2</v>
      </c>
      <c r="P53" s="2" t="s">
        <v>359</v>
      </c>
      <c r="Q53" s="2">
        <v>0</v>
      </c>
    </row>
    <row r="54" spans="1:17" ht="21.95" thickBot="1" x14ac:dyDescent="0.25">
      <c r="A54" s="64" t="s">
        <v>96</v>
      </c>
      <c r="B54" s="65">
        <v>7.2300000000000003E-2</v>
      </c>
      <c r="H54" s="64" t="s">
        <v>96</v>
      </c>
      <c r="I54" s="65">
        <v>7.2300000000000003E-2</v>
      </c>
      <c r="P54" s="2" t="s">
        <v>427</v>
      </c>
      <c r="Q54" s="2">
        <v>4</v>
      </c>
    </row>
    <row r="55" spans="1:17" x14ac:dyDescent="0.2">
      <c r="P55" s="2" t="s">
        <v>360</v>
      </c>
      <c r="Q55" s="2">
        <v>2</v>
      </c>
    </row>
    <row r="56" spans="1:17" ht="11.3" thickBot="1" x14ac:dyDescent="0.25">
      <c r="P56" s="2" t="s">
        <v>361</v>
      </c>
      <c r="Q56" s="2">
        <v>0</v>
      </c>
    </row>
    <row r="57" spans="1:17" ht="11.3" thickBot="1" x14ac:dyDescent="0.25">
      <c r="A57" s="66" t="s">
        <v>198</v>
      </c>
      <c r="B57" s="67" t="s">
        <v>213</v>
      </c>
      <c r="H57" s="269" t="s">
        <v>308</v>
      </c>
      <c r="I57" s="270">
        <v>45474</v>
      </c>
      <c r="J57" s="271">
        <v>45658</v>
      </c>
      <c r="P57" s="2" t="s">
        <v>362</v>
      </c>
      <c r="Q57" s="2">
        <v>2</v>
      </c>
    </row>
    <row r="58" spans="1:17" ht="11.3" thickBot="1" x14ac:dyDescent="0.25">
      <c r="A58" s="68"/>
      <c r="B58" s="69">
        <v>0.47</v>
      </c>
      <c r="H58" s="272" t="s">
        <v>76</v>
      </c>
      <c r="I58" s="273">
        <v>45.5</v>
      </c>
      <c r="J58" s="274">
        <v>45.5</v>
      </c>
      <c r="P58" s="2" t="s">
        <v>363</v>
      </c>
      <c r="Q58" s="2">
        <v>0</v>
      </c>
    </row>
    <row r="59" spans="1:17" x14ac:dyDescent="0.2">
      <c r="G59" s="70"/>
      <c r="H59" s="272" t="s">
        <v>77</v>
      </c>
      <c r="I59" s="273">
        <v>7.8</v>
      </c>
      <c r="J59" s="274">
        <v>7.8</v>
      </c>
      <c r="P59" s="2" t="s">
        <v>364</v>
      </c>
      <c r="Q59" s="2">
        <v>0</v>
      </c>
    </row>
    <row r="60" spans="1:17" x14ac:dyDescent="0.2">
      <c r="G60" s="70"/>
      <c r="H60" s="272" t="s">
        <v>429</v>
      </c>
      <c r="I60" s="273">
        <v>1.2</v>
      </c>
      <c r="J60" s="274"/>
      <c r="P60" s="2" t="s">
        <v>365</v>
      </c>
      <c r="Q60" s="2">
        <v>4</v>
      </c>
    </row>
    <row r="61" spans="1:17" ht="21.3" x14ac:dyDescent="0.2">
      <c r="H61" s="275" t="s">
        <v>95</v>
      </c>
      <c r="I61" s="276">
        <v>30.1</v>
      </c>
      <c r="J61" s="274">
        <v>91.6</v>
      </c>
      <c r="P61" s="2" t="s">
        <v>366</v>
      </c>
      <c r="Q61" s="2">
        <v>0</v>
      </c>
    </row>
    <row r="62" spans="1:17" x14ac:dyDescent="0.2">
      <c r="H62" s="275" t="s">
        <v>430</v>
      </c>
      <c r="I62" s="276">
        <v>4.3</v>
      </c>
      <c r="J62" s="274">
        <v>7.1</v>
      </c>
      <c r="P62" s="2" t="s">
        <v>367</v>
      </c>
      <c r="Q62" s="2">
        <v>0</v>
      </c>
    </row>
    <row r="63" spans="1:17" ht="11.3" thickBot="1" x14ac:dyDescent="0.25">
      <c r="H63" s="275" t="s">
        <v>98</v>
      </c>
      <c r="I63" s="276">
        <v>0.7</v>
      </c>
      <c r="J63" s="274"/>
      <c r="P63" s="2" t="s">
        <v>368</v>
      </c>
      <c r="Q63" s="2">
        <v>0</v>
      </c>
    </row>
    <row r="64" spans="1:17" ht="11.3" thickBot="1" x14ac:dyDescent="0.25">
      <c r="A64" s="322" t="s">
        <v>196</v>
      </c>
      <c r="B64" s="323"/>
      <c r="C64" s="324"/>
      <c r="D64" s="67" t="s">
        <v>156</v>
      </c>
      <c r="H64" s="277" t="s">
        <v>78</v>
      </c>
      <c r="I64" s="342">
        <f>+SUM(I58:J63)/2</f>
        <v>120.8</v>
      </c>
      <c r="J64" s="343"/>
      <c r="P64" s="2" t="s">
        <v>369</v>
      </c>
      <c r="Q64" s="2">
        <v>0</v>
      </c>
    </row>
    <row r="65" spans="1:17" ht="11.3" thickBot="1" x14ac:dyDescent="0.25">
      <c r="A65" s="73"/>
      <c r="B65" s="320" t="s">
        <v>197</v>
      </c>
      <c r="C65" s="321"/>
      <c r="D65" s="74">
        <v>0.5</v>
      </c>
      <c r="H65" s="71"/>
      <c r="I65" s="72"/>
      <c r="J65" s="72"/>
      <c r="P65" s="2" t="s">
        <v>370</v>
      </c>
      <c r="Q65" s="2">
        <v>0</v>
      </c>
    </row>
    <row r="66" spans="1:17" x14ac:dyDescent="0.2">
      <c r="P66" s="2" t="s">
        <v>371</v>
      </c>
      <c r="Q66" s="2">
        <v>0</v>
      </c>
    </row>
    <row r="67" spans="1:17" ht="11.3" thickBot="1" x14ac:dyDescent="0.25">
      <c r="P67" s="2" t="s">
        <v>372</v>
      </c>
      <c r="Q67" s="2">
        <v>1</v>
      </c>
    </row>
    <row r="68" spans="1:17" ht="11.3" thickBot="1" x14ac:dyDescent="0.25">
      <c r="A68" s="322" t="s">
        <v>207</v>
      </c>
      <c r="B68" s="323"/>
      <c r="C68" s="324"/>
      <c r="D68" s="67" t="s">
        <v>84</v>
      </c>
      <c r="H68" s="322" t="s">
        <v>207</v>
      </c>
      <c r="I68" s="323"/>
      <c r="J68" s="324"/>
      <c r="K68" s="67" t="s">
        <v>84</v>
      </c>
      <c r="P68" s="2" t="s">
        <v>373</v>
      </c>
      <c r="Q68" s="2">
        <v>1</v>
      </c>
    </row>
    <row r="69" spans="1:17" ht="11.3" thickBot="1" x14ac:dyDescent="0.25">
      <c r="A69" s="73"/>
      <c r="B69" s="320" t="s">
        <v>88</v>
      </c>
      <c r="C69" s="321"/>
      <c r="D69" s="69">
        <v>400</v>
      </c>
      <c r="H69" s="68"/>
      <c r="I69" s="337" t="s">
        <v>88</v>
      </c>
      <c r="J69" s="321"/>
      <c r="K69" s="69">
        <v>452.48</v>
      </c>
      <c r="P69" s="2" t="s">
        <v>374</v>
      </c>
      <c r="Q69" s="2">
        <v>0</v>
      </c>
    </row>
    <row r="70" spans="1:17" x14ac:dyDescent="0.2">
      <c r="P70" s="2" t="s">
        <v>375</v>
      </c>
      <c r="Q70" s="2">
        <v>1</v>
      </c>
    </row>
    <row r="71" spans="1:17" ht="11.3" thickBot="1" x14ac:dyDescent="0.25">
      <c r="P71" s="2" t="s">
        <v>376</v>
      </c>
      <c r="Q71" s="2">
        <v>0</v>
      </c>
    </row>
    <row r="72" spans="1:17" ht="11.3" thickBot="1" x14ac:dyDescent="0.25">
      <c r="A72" s="322" t="s">
        <v>206</v>
      </c>
      <c r="B72" s="323"/>
      <c r="C72" s="324"/>
      <c r="D72" s="67" t="s">
        <v>156</v>
      </c>
      <c r="H72" s="3"/>
      <c r="I72" s="3"/>
      <c r="J72" s="3"/>
      <c r="P72" s="2" t="s">
        <v>377</v>
      </c>
      <c r="Q72" s="2">
        <v>0</v>
      </c>
    </row>
    <row r="73" spans="1:17" ht="11.3" thickBot="1" x14ac:dyDescent="0.25">
      <c r="A73" s="73"/>
      <c r="B73" s="320" t="s">
        <v>210</v>
      </c>
      <c r="C73" s="321"/>
      <c r="D73" s="74">
        <v>0.5</v>
      </c>
      <c r="H73" s="75"/>
      <c r="I73" s="309"/>
      <c r="J73" s="309"/>
      <c r="K73" s="20"/>
      <c r="P73" s="2" t="s">
        <v>378</v>
      </c>
      <c r="Q73" s="2">
        <v>0</v>
      </c>
    </row>
    <row r="74" spans="1:17" x14ac:dyDescent="0.2">
      <c r="A74" s="75"/>
      <c r="B74" s="9"/>
      <c r="C74" s="9"/>
      <c r="D74" s="76"/>
      <c r="H74" s="75"/>
      <c r="I74" s="309"/>
      <c r="J74" s="309"/>
      <c r="K74" s="20"/>
      <c r="P74" s="2" t="s">
        <v>379</v>
      </c>
      <c r="Q74" s="2">
        <v>0</v>
      </c>
    </row>
    <row r="75" spans="1:17" x14ac:dyDescent="0.2">
      <c r="P75" s="2" t="s">
        <v>380</v>
      </c>
      <c r="Q75" s="2">
        <v>0</v>
      </c>
    </row>
    <row r="76" spans="1:17" ht="15.05" x14ac:dyDescent="0.25">
      <c r="A76" s="59" t="s">
        <v>214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P76" s="2" t="s">
        <v>381</v>
      </c>
      <c r="Q76" s="2">
        <v>2</v>
      </c>
    </row>
    <row r="77" spans="1:17" x14ac:dyDescent="0.2">
      <c r="P77" s="2" t="s">
        <v>382</v>
      </c>
      <c r="Q77" s="2">
        <v>4</v>
      </c>
    </row>
    <row r="78" spans="1:17" ht="11.3" thickBot="1" x14ac:dyDescent="0.25">
      <c r="A78" s="3"/>
      <c r="P78" s="2" t="s">
        <v>383</v>
      </c>
      <c r="Q78" s="2">
        <v>4</v>
      </c>
    </row>
    <row r="79" spans="1:17" ht="11.3" thickBot="1" x14ac:dyDescent="0.25">
      <c r="A79" s="60" t="s">
        <v>209</v>
      </c>
      <c r="B79" s="327" t="s">
        <v>59</v>
      </c>
      <c r="C79" s="328"/>
      <c r="D79" s="67" t="s">
        <v>54</v>
      </c>
      <c r="E79" s="77" t="s">
        <v>52</v>
      </c>
      <c r="F79" s="78" t="s">
        <v>50</v>
      </c>
      <c r="P79" s="2" t="s">
        <v>384</v>
      </c>
      <c r="Q79" s="2">
        <v>0</v>
      </c>
    </row>
    <row r="80" spans="1:17" x14ac:dyDescent="0.2">
      <c r="A80" s="79" t="s">
        <v>53</v>
      </c>
      <c r="B80" s="325" t="s">
        <v>61</v>
      </c>
      <c r="C80" s="326"/>
      <c r="D80" s="80"/>
      <c r="E80" s="80"/>
      <c r="F80" s="81">
        <f>('BPA-HHOK'!C47+'BPA-HHOK'!E47)*(365/7)+'BPA-HHOK'!D47+'BPA-HHOK'!E52*'BPA-HHOK'!F52+'BPA-HHOK'!E54*'BPA-HHOK'!F54</f>
        <v>0</v>
      </c>
      <c r="P80" s="2" t="s">
        <v>385</v>
      </c>
      <c r="Q80" s="2">
        <v>0</v>
      </c>
    </row>
    <row r="81" spans="1:17" x14ac:dyDescent="0.2">
      <c r="A81" s="82" t="s">
        <v>2</v>
      </c>
      <c r="B81" s="325" t="s">
        <v>51</v>
      </c>
      <c r="C81" s="326"/>
      <c r="D81" s="189">
        <v>198</v>
      </c>
      <c r="E81" s="80">
        <f>+D81*3</f>
        <v>594</v>
      </c>
      <c r="F81" s="83">
        <f>E81*4</f>
        <v>2376</v>
      </c>
      <c r="P81" s="2" t="s">
        <v>386</v>
      </c>
      <c r="Q81" s="2">
        <v>1</v>
      </c>
    </row>
    <row r="82" spans="1:17" x14ac:dyDescent="0.2">
      <c r="A82" s="82" t="s">
        <v>46</v>
      </c>
      <c r="B82" s="325" t="s">
        <v>51</v>
      </c>
      <c r="C82" s="326"/>
      <c r="D82" s="80"/>
      <c r="E82" s="189">
        <v>777.75</v>
      </c>
      <c r="F82" s="83">
        <f>E82*4</f>
        <v>3111</v>
      </c>
      <c r="P82" s="2" t="s">
        <v>387</v>
      </c>
      <c r="Q82" s="2">
        <v>0</v>
      </c>
    </row>
    <row r="83" spans="1:17" x14ac:dyDescent="0.2">
      <c r="A83" s="82" t="s">
        <v>41</v>
      </c>
      <c r="B83" s="325" t="s">
        <v>51</v>
      </c>
      <c r="C83" s="326"/>
      <c r="D83" s="80"/>
      <c r="E83" s="80"/>
      <c r="F83" s="83">
        <v>366</v>
      </c>
      <c r="P83" s="2" t="s">
        <v>388</v>
      </c>
      <c r="Q83" s="2">
        <v>1</v>
      </c>
    </row>
    <row r="84" spans="1:17" x14ac:dyDescent="0.2">
      <c r="A84" s="82" t="s">
        <v>79</v>
      </c>
      <c r="B84" s="325" t="s">
        <v>51</v>
      </c>
      <c r="C84" s="326"/>
      <c r="D84" s="80"/>
      <c r="E84" s="80">
        <v>0</v>
      </c>
      <c r="F84" s="83">
        <f>+E84*4</f>
        <v>0</v>
      </c>
      <c r="P84" s="2" t="s">
        <v>389</v>
      </c>
      <c r="Q84" s="2">
        <v>2</v>
      </c>
    </row>
    <row r="85" spans="1:17" x14ac:dyDescent="0.2">
      <c r="A85" s="82" t="s">
        <v>114</v>
      </c>
      <c r="B85" s="325" t="s">
        <v>51</v>
      </c>
      <c r="C85" s="326"/>
      <c r="D85" s="80"/>
      <c r="E85" s="80"/>
      <c r="F85" s="146">
        <v>295</v>
      </c>
      <c r="H85" s="70"/>
      <c r="P85" s="2" t="s">
        <v>390</v>
      </c>
      <c r="Q85" s="2">
        <v>0</v>
      </c>
    </row>
    <row r="86" spans="1:17" x14ac:dyDescent="0.2">
      <c r="A86" s="82" t="s">
        <v>56</v>
      </c>
      <c r="B86" s="325" t="s">
        <v>55</v>
      </c>
      <c r="C86" s="326"/>
      <c r="D86" s="80">
        <v>117</v>
      </c>
      <c r="E86" s="80"/>
      <c r="F86" s="83">
        <f>D86*12</f>
        <v>1404</v>
      </c>
      <c r="P86" s="2" t="s">
        <v>391</v>
      </c>
      <c r="Q86" s="2">
        <v>0</v>
      </c>
    </row>
    <row r="87" spans="1:17" x14ac:dyDescent="0.2">
      <c r="A87" s="82" t="s">
        <v>57</v>
      </c>
      <c r="B87" s="325" t="s">
        <v>60</v>
      </c>
      <c r="C87" s="326"/>
      <c r="D87" s="80"/>
      <c r="E87" s="80"/>
      <c r="F87" s="83">
        <f>F80/F86</f>
        <v>0</v>
      </c>
      <c r="P87" s="2" t="s">
        <v>392</v>
      </c>
      <c r="Q87" s="2">
        <v>0</v>
      </c>
    </row>
    <row r="88" spans="1:17" x14ac:dyDescent="0.2">
      <c r="A88" s="82" t="s">
        <v>2</v>
      </c>
      <c r="B88" s="325" t="s">
        <v>58</v>
      </c>
      <c r="C88" s="326"/>
      <c r="D88" s="80"/>
      <c r="E88" s="80"/>
      <c r="F88" s="83">
        <f>F$87*F81</f>
        <v>0</v>
      </c>
      <c r="P88" s="2" t="s">
        <v>393</v>
      </c>
      <c r="Q88" s="2">
        <v>0</v>
      </c>
    </row>
    <row r="89" spans="1:17" x14ac:dyDescent="0.2">
      <c r="A89" s="82" t="s">
        <v>46</v>
      </c>
      <c r="B89" s="325" t="s">
        <v>58</v>
      </c>
      <c r="C89" s="326"/>
      <c r="D89" s="80"/>
      <c r="E89" s="80"/>
      <c r="F89" s="83">
        <f>F$87*F82</f>
        <v>0</v>
      </c>
      <c r="P89" s="2" t="s">
        <v>394</v>
      </c>
      <c r="Q89" s="2">
        <v>0</v>
      </c>
    </row>
    <row r="90" spans="1:17" x14ac:dyDescent="0.2">
      <c r="A90" s="84" t="s">
        <v>41</v>
      </c>
      <c r="B90" s="329" t="s">
        <v>58</v>
      </c>
      <c r="C90" s="330"/>
      <c r="D90" s="85"/>
      <c r="E90" s="85"/>
      <c r="F90" s="86">
        <f>F$87*F83</f>
        <v>0</v>
      </c>
      <c r="P90" s="2" t="s">
        <v>395</v>
      </c>
      <c r="Q90" s="2">
        <v>1</v>
      </c>
    </row>
    <row r="91" spans="1:17" x14ac:dyDescent="0.2">
      <c r="A91" s="82" t="s">
        <v>79</v>
      </c>
      <c r="B91" s="325" t="s">
        <v>58</v>
      </c>
      <c r="C91" s="331"/>
      <c r="D91" s="87"/>
      <c r="E91" s="85"/>
      <c r="F91" s="86">
        <f>F$87*F84</f>
        <v>0</v>
      </c>
      <c r="P91" s="2" t="s">
        <v>396</v>
      </c>
      <c r="Q91" s="2">
        <v>0</v>
      </c>
    </row>
    <row r="92" spans="1:17" x14ac:dyDescent="0.2">
      <c r="A92" s="84" t="s">
        <v>114</v>
      </c>
      <c r="B92" s="325" t="s">
        <v>58</v>
      </c>
      <c r="C92" s="331"/>
      <c r="D92" s="87"/>
      <c r="E92" s="85"/>
      <c r="F92" s="88">
        <f>+F85*F87</f>
        <v>0</v>
      </c>
      <c r="P92" s="2" t="s">
        <v>397</v>
      </c>
      <c r="Q92" s="2">
        <v>0</v>
      </c>
    </row>
    <row r="93" spans="1:17" ht="21.95" thickBot="1" x14ac:dyDescent="0.25">
      <c r="A93" s="301" t="s">
        <v>435</v>
      </c>
      <c r="B93" s="320" t="s">
        <v>64</v>
      </c>
      <c r="C93" s="321"/>
      <c r="D93" s="74">
        <v>3.5000000000000003E-2</v>
      </c>
      <c r="E93" s="89">
        <v>3.5000000000000003E-2</v>
      </c>
      <c r="F93" s="90">
        <v>3.5000000000000003E-2</v>
      </c>
      <c r="P93" s="2" t="s">
        <v>398</v>
      </c>
      <c r="Q93" s="2">
        <v>4</v>
      </c>
    </row>
    <row r="94" spans="1:17" x14ac:dyDescent="0.2">
      <c r="A94" s="91" t="s">
        <v>216</v>
      </c>
      <c r="P94" s="2" t="s">
        <v>399</v>
      </c>
      <c r="Q94" s="2">
        <v>4</v>
      </c>
    </row>
    <row r="95" spans="1:17" ht="11.3" thickBot="1" x14ac:dyDescent="0.25">
      <c r="P95" s="2" t="s">
        <v>400</v>
      </c>
      <c r="Q95" s="2">
        <v>0</v>
      </c>
    </row>
    <row r="96" spans="1:17" ht="11.3" thickBot="1" x14ac:dyDescent="0.25">
      <c r="A96" s="60" t="s">
        <v>208</v>
      </c>
      <c r="B96" s="327" t="s">
        <v>59</v>
      </c>
      <c r="C96" s="328"/>
      <c r="D96" s="67" t="s">
        <v>84</v>
      </c>
      <c r="E96" s="78" t="s">
        <v>87</v>
      </c>
      <c r="P96" s="2" t="s">
        <v>401</v>
      </c>
      <c r="Q96" s="2">
        <v>0</v>
      </c>
    </row>
    <row r="97" spans="1:17" ht="11.3" thickBot="1" x14ac:dyDescent="0.25">
      <c r="A97" s="73">
        <v>44927</v>
      </c>
      <c r="B97" s="320" t="s">
        <v>88</v>
      </c>
      <c r="C97" s="321"/>
      <c r="D97" s="69">
        <v>1164</v>
      </c>
      <c r="E97" s="92">
        <f>+D97/$F$86</f>
        <v>0.82905982905982911</v>
      </c>
      <c r="P97" s="2" t="s">
        <v>402</v>
      </c>
      <c r="Q97" s="2">
        <v>0</v>
      </c>
    </row>
    <row r="98" spans="1:17" ht="11.3" thickBot="1" x14ac:dyDescent="0.25">
      <c r="P98" s="2" t="s">
        <v>403</v>
      </c>
      <c r="Q98" s="2">
        <v>0</v>
      </c>
    </row>
    <row r="99" spans="1:17" x14ac:dyDescent="0.2">
      <c r="A99" s="262" t="s">
        <v>272</v>
      </c>
      <c r="B99" s="327" t="s">
        <v>59</v>
      </c>
      <c r="C99" s="328"/>
      <c r="D99" s="265" t="s">
        <v>84</v>
      </c>
      <c r="P99" s="2" t="s">
        <v>404</v>
      </c>
      <c r="Q99" s="2">
        <v>0</v>
      </c>
    </row>
    <row r="100" spans="1:17" ht="11.3" thickBot="1" x14ac:dyDescent="0.25">
      <c r="A100" s="263" t="s">
        <v>288</v>
      </c>
      <c r="B100" s="320" t="s">
        <v>88</v>
      </c>
      <c r="C100" s="321"/>
      <c r="D100" s="264">
        <v>22</v>
      </c>
      <c r="P100" s="2" t="s">
        <v>405</v>
      </c>
      <c r="Q100" s="2">
        <v>0</v>
      </c>
    </row>
    <row r="101" spans="1:17" x14ac:dyDescent="0.2">
      <c r="P101" s="2" t="s">
        <v>406</v>
      </c>
      <c r="Q101" s="2">
        <v>0</v>
      </c>
    </row>
    <row r="102" spans="1:17" ht="15.05" x14ac:dyDescent="0.25">
      <c r="A102" s="59" t="s">
        <v>219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P102" s="2" t="s">
        <v>407</v>
      </c>
      <c r="Q102" s="2">
        <v>0</v>
      </c>
    </row>
    <row r="103" spans="1:17" x14ac:dyDescent="0.2">
      <c r="P103" s="2" t="s">
        <v>408</v>
      </c>
      <c r="Q103" s="2">
        <v>0</v>
      </c>
    </row>
    <row r="104" spans="1:17" ht="11.3" thickBot="1" x14ac:dyDescent="0.25">
      <c r="P104" s="2" t="s">
        <v>409</v>
      </c>
      <c r="Q104" s="2">
        <v>1</v>
      </c>
    </row>
    <row r="105" spans="1:17" ht="11.3" thickBot="1" x14ac:dyDescent="0.25">
      <c r="A105" s="60" t="s">
        <v>264</v>
      </c>
      <c r="B105" s="327" t="s">
        <v>182</v>
      </c>
      <c r="C105" s="328"/>
      <c r="D105" s="93" t="s">
        <v>183</v>
      </c>
      <c r="P105" s="2" t="s">
        <v>410</v>
      </c>
      <c r="Q105" s="2">
        <v>2</v>
      </c>
    </row>
    <row r="106" spans="1:17" x14ac:dyDescent="0.2">
      <c r="A106" s="94" t="s">
        <v>217</v>
      </c>
      <c r="B106" s="325" t="s">
        <v>425</v>
      </c>
      <c r="C106" s="326"/>
      <c r="D106" s="97">
        <v>0</v>
      </c>
    </row>
    <row r="107" spans="1:17" x14ac:dyDescent="0.2">
      <c r="A107" s="95" t="s">
        <v>122</v>
      </c>
      <c r="B107" s="325" t="s">
        <v>184</v>
      </c>
      <c r="C107" s="326"/>
      <c r="D107" s="97">
        <v>0</v>
      </c>
    </row>
    <row r="108" spans="1:17" ht="11.3" thickBot="1" x14ac:dyDescent="0.25">
      <c r="A108" s="96" t="s">
        <v>120</v>
      </c>
      <c r="B108" s="320" t="s">
        <v>185</v>
      </c>
      <c r="C108" s="332"/>
      <c r="D108" s="278">
        <v>3.73</v>
      </c>
      <c r="E108" s="2" t="s">
        <v>218</v>
      </c>
    </row>
    <row r="109" spans="1:17" ht="11.3" thickBot="1" x14ac:dyDescent="0.25"/>
    <row r="110" spans="1:17" ht="11.3" thickBot="1" x14ac:dyDescent="0.25">
      <c r="A110" s="60" t="s">
        <v>186</v>
      </c>
      <c r="B110" s="327" t="s">
        <v>59</v>
      </c>
      <c r="C110" s="328"/>
      <c r="D110" s="67" t="s">
        <v>50</v>
      </c>
      <c r="E110" s="78" t="s">
        <v>87</v>
      </c>
    </row>
    <row r="111" spans="1:17" ht="21.95" thickBot="1" x14ac:dyDescent="0.25">
      <c r="A111" s="292" t="s">
        <v>423</v>
      </c>
      <c r="B111" s="320" t="s">
        <v>88</v>
      </c>
      <c r="C111" s="321"/>
      <c r="D111" s="291">
        <v>0</v>
      </c>
      <c r="E111" s="290">
        <v>0</v>
      </c>
    </row>
  </sheetData>
  <sheetProtection algorithmName="SHA-512" hashValue="DporKd6/GTlCwwiaszA5k6JxABYWv+DNQqVHTvmIkJAs4WKr5/YaoQ5zb0VF0z6mmdq0hyBsb2KTQq3jB96MNg==" saltValue="YP6rVI7lKY/oTaI3CcIBGQ==" spinCount="100000" sheet="1" objects="1" scenarios="1"/>
  <mergeCells count="41">
    <mergeCell ref="U6:AA6"/>
    <mergeCell ref="B105:C105"/>
    <mergeCell ref="B106:C106"/>
    <mergeCell ref="H3:J3"/>
    <mergeCell ref="H68:J68"/>
    <mergeCell ref="I69:J69"/>
    <mergeCell ref="H36:K36"/>
    <mergeCell ref="A64:C64"/>
    <mergeCell ref="B65:C65"/>
    <mergeCell ref="A36:D36"/>
    <mergeCell ref="W8:AA8"/>
    <mergeCell ref="I64:J64"/>
    <mergeCell ref="A6:D6"/>
    <mergeCell ref="C8:G8"/>
    <mergeCell ref="B110:C110"/>
    <mergeCell ref="B107:C107"/>
    <mergeCell ref="B69:C69"/>
    <mergeCell ref="A68:C68"/>
    <mergeCell ref="B85:C85"/>
    <mergeCell ref="B92:C92"/>
    <mergeCell ref="B96:C96"/>
    <mergeCell ref="B86:C86"/>
    <mergeCell ref="B87:C87"/>
    <mergeCell ref="B88:C88"/>
    <mergeCell ref="B89:C89"/>
    <mergeCell ref="B111:C111"/>
    <mergeCell ref="A72:C72"/>
    <mergeCell ref="B73:C73"/>
    <mergeCell ref="B80:C80"/>
    <mergeCell ref="B79:C79"/>
    <mergeCell ref="B93:C93"/>
    <mergeCell ref="B81:C81"/>
    <mergeCell ref="B82:C82"/>
    <mergeCell ref="B83:C83"/>
    <mergeCell ref="B97:C97"/>
    <mergeCell ref="B90:C90"/>
    <mergeCell ref="B84:C84"/>
    <mergeCell ref="B91:C91"/>
    <mergeCell ref="B108:C108"/>
    <mergeCell ref="B99:C99"/>
    <mergeCell ref="B100:C100"/>
  </mergeCells>
  <pageMargins left="0.7" right="0.7" top="0.75" bottom="0.75" header="0.3" footer="0.3"/>
  <pageSetup paperSize="8"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38"/>
  <sheetViews>
    <sheetView zoomScaleNormal="100" workbookViewId="0">
      <selection activeCell="B4" sqref="B4:C4"/>
    </sheetView>
  </sheetViews>
  <sheetFormatPr defaultColWidth="9.375" defaultRowHeight="12.55" outlineLevelCol="1" x14ac:dyDescent="0.2"/>
  <cols>
    <col min="1" max="1" width="37.375" style="100" customWidth="1"/>
    <col min="2" max="2" width="10" style="100" customWidth="1"/>
    <col min="3" max="3" width="14.125" style="100" customWidth="1"/>
    <col min="4" max="4" width="18.5" style="100" customWidth="1"/>
    <col min="5" max="5" width="19.125" style="100" bestFit="1" customWidth="1"/>
    <col min="6" max="6" width="15" style="100" bestFit="1" customWidth="1"/>
    <col min="7" max="7" width="12" style="100" customWidth="1"/>
    <col min="8" max="8" width="11" style="100" bestFit="1" customWidth="1"/>
    <col min="9" max="9" width="12.125" style="100" bestFit="1" customWidth="1"/>
    <col min="10" max="12" width="9.5" style="100" bestFit="1" customWidth="1"/>
    <col min="13" max="13" width="17.5" style="100" bestFit="1" customWidth="1"/>
    <col min="14" max="14" width="14.375" style="100" hidden="1" customWidth="1" outlineLevel="1"/>
    <col min="15" max="15" width="16" style="100" hidden="1" customWidth="1" outlineLevel="1"/>
    <col min="16" max="16" width="16.375" style="100" bestFit="1" customWidth="1" collapsed="1"/>
    <col min="17" max="17" width="19.875" style="100" bestFit="1" customWidth="1"/>
    <col min="18" max="19" width="15.375" style="100" bestFit="1" customWidth="1"/>
    <col min="20" max="20" width="9.375" style="100"/>
    <col min="21" max="21" width="10.625" style="100" bestFit="1" customWidth="1"/>
    <col min="22" max="16384" width="9.375" style="100"/>
  </cols>
  <sheetData>
    <row r="1" spans="1:17" ht="17.55" thickBot="1" x14ac:dyDescent="0.3">
      <c r="A1" s="98" t="s">
        <v>99</v>
      </c>
      <c r="B1" s="99"/>
      <c r="C1" s="99"/>
      <c r="D1" s="99"/>
      <c r="E1" s="99"/>
      <c r="F1" s="99"/>
      <c r="G1" s="99"/>
      <c r="H1" s="99"/>
      <c r="I1" s="99"/>
      <c r="J1" s="99"/>
    </row>
    <row r="2" spans="1:17" ht="16.3" thickBot="1" x14ac:dyDescent="0.35">
      <c r="A2" s="101" t="s">
        <v>292</v>
      </c>
      <c r="B2" s="99"/>
      <c r="C2" s="99"/>
      <c r="D2" s="99"/>
      <c r="E2" s="99"/>
      <c r="F2" s="99"/>
      <c r="G2" s="99"/>
      <c r="H2" s="99"/>
      <c r="I2" s="355" t="s">
        <v>262</v>
      </c>
      <c r="J2" s="356"/>
      <c r="K2" s="356"/>
      <c r="L2" s="356"/>
      <c r="M2" s="357"/>
    </row>
    <row r="3" spans="1:17" ht="15.05" x14ac:dyDescent="0.25">
      <c r="A3" s="101"/>
      <c r="B3" s="99"/>
      <c r="C3" s="99"/>
      <c r="D3" s="99"/>
      <c r="E3" s="99"/>
      <c r="F3" s="99"/>
      <c r="G3" s="99"/>
      <c r="H3" s="99"/>
      <c r="I3" s="99"/>
      <c r="J3" s="99"/>
    </row>
    <row r="4" spans="1:17" ht="15.05" x14ac:dyDescent="0.25">
      <c r="A4" s="102" t="s">
        <v>3</v>
      </c>
      <c r="B4" s="363" t="s">
        <v>406</v>
      </c>
      <c r="C4" s="364"/>
      <c r="E4" s="103" t="s">
        <v>181</v>
      </c>
      <c r="F4" s="295">
        <f>+VLOOKUP(B4,Kommunenavn,2)</f>
        <v>0</v>
      </c>
      <c r="H4" s="102" t="s">
        <v>4</v>
      </c>
      <c r="J4" s="200"/>
      <c r="K4" s="202"/>
      <c r="L4" s="201"/>
      <c r="O4" s="102"/>
    </row>
    <row r="5" spans="1:17" ht="15.05" x14ac:dyDescent="0.25">
      <c r="A5" s="3" t="s">
        <v>5</v>
      </c>
      <c r="B5" s="2"/>
      <c r="C5" s="203">
        <f>Forudsætninger!B8</f>
        <v>45566</v>
      </c>
      <c r="E5" s="103"/>
      <c r="F5" s="104"/>
      <c r="H5" s="102"/>
      <c r="O5" s="75">
        <v>45474</v>
      </c>
    </row>
    <row r="6" spans="1:17" x14ac:dyDescent="0.2">
      <c r="A6" s="3" t="s">
        <v>274</v>
      </c>
      <c r="B6" s="2" t="s">
        <v>275</v>
      </c>
      <c r="C6" s="305">
        <v>45658</v>
      </c>
      <c r="D6" s="2" t="s">
        <v>276</v>
      </c>
      <c r="E6" s="305">
        <v>46022</v>
      </c>
      <c r="F6" s="2"/>
      <c r="G6" s="3"/>
      <c r="H6" s="3"/>
      <c r="I6" s="2"/>
      <c r="J6" s="3"/>
      <c r="K6" s="2"/>
      <c r="L6" s="2"/>
      <c r="M6" s="3"/>
      <c r="P6" s="105"/>
    </row>
    <row r="7" spans="1:17" ht="21.3" x14ac:dyDescent="0.2">
      <c r="A7" s="3"/>
      <c r="B7" s="2"/>
      <c r="D7" s="3"/>
      <c r="F7" s="106" t="s">
        <v>412</v>
      </c>
      <c r="G7" s="106" t="s">
        <v>221</v>
      </c>
      <c r="H7" s="3"/>
      <c r="I7" s="107" t="s">
        <v>220</v>
      </c>
      <c r="J7" s="107" t="s">
        <v>7</v>
      </c>
      <c r="K7" s="107" t="s">
        <v>8</v>
      </c>
      <c r="L7" s="107" t="s">
        <v>9</v>
      </c>
      <c r="M7" s="107" t="s">
        <v>47</v>
      </c>
      <c r="P7" s="105"/>
    </row>
    <row r="8" spans="1:17" ht="22.55" customHeight="1" x14ac:dyDescent="0.2">
      <c r="A8" s="361" t="s">
        <v>433</v>
      </c>
      <c r="B8" s="362"/>
      <c r="C8" s="362"/>
      <c r="D8" s="362"/>
      <c r="E8" s="362"/>
      <c r="F8" s="294">
        <v>11</v>
      </c>
      <c r="G8" s="296">
        <f>+IF(F9="Ja",INDEX(Timepriser2,MATCH(F8,Løntrin2,0),MATCH(F4,Stedtillæg2,0)),INDEX(Timepriser,MATCH(F8,Løntrin,0),MATCH(F4,Stedtillæg,0)))</f>
        <v>145.55000000000001</v>
      </c>
      <c r="I8" s="215">
        <f>+G8*Forudsætninger!B43</f>
        <v>72.775000000000006</v>
      </c>
      <c r="J8" s="109">
        <f>+G8*Forudsætninger!B42</f>
        <v>46.153905000000002</v>
      </c>
      <c r="K8" s="109">
        <f>+G8*Forudsætninger!B40</f>
        <v>51.117160000000005</v>
      </c>
      <c r="L8" s="109">
        <f>+G8*Forudsætninger!B41</f>
        <v>57.142930000000007</v>
      </c>
      <c r="M8" s="109">
        <f>G8*Forudsætninger!B45</f>
        <v>109.16250000000001</v>
      </c>
      <c r="N8" s="71"/>
      <c r="O8" s="110"/>
      <c r="P8" s="105">
        <v>43466</v>
      </c>
    </row>
    <row r="9" spans="1:17" ht="25.55" customHeight="1" x14ac:dyDescent="0.2">
      <c r="A9" s="365" t="s">
        <v>436</v>
      </c>
      <c r="B9" s="365"/>
      <c r="C9" s="365"/>
      <c r="D9" s="365"/>
      <c r="E9" s="365"/>
      <c r="F9" s="294" t="s">
        <v>286</v>
      </c>
      <c r="G9" s="299"/>
      <c r="I9" s="2"/>
      <c r="J9" s="110"/>
      <c r="K9" s="110"/>
      <c r="L9" s="110"/>
      <c r="M9" s="110"/>
      <c r="N9" s="71"/>
      <c r="O9" s="110"/>
      <c r="P9" s="105"/>
    </row>
    <row r="10" spans="1:17" ht="13.15" thickBo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54" t="s">
        <v>222</v>
      </c>
      <c r="O10" s="354"/>
      <c r="Q10" s="111"/>
    </row>
    <row r="11" spans="1:17" ht="31.95" x14ac:dyDescent="0.2">
      <c r="A11" s="112"/>
      <c r="B11" s="113" t="s">
        <v>10</v>
      </c>
      <c r="C11" s="113" t="s">
        <v>66</v>
      </c>
      <c r="D11" s="113" t="s">
        <v>49</v>
      </c>
      <c r="E11" s="113" t="s">
        <v>68</v>
      </c>
      <c r="F11" s="113" t="s">
        <v>11</v>
      </c>
      <c r="G11" s="113" t="s">
        <v>12</v>
      </c>
      <c r="H11" s="113" t="s">
        <v>7</v>
      </c>
      <c r="I11" s="113" t="s">
        <v>13</v>
      </c>
      <c r="J11" s="114" t="s">
        <v>14</v>
      </c>
      <c r="K11" s="112" t="s">
        <v>15</v>
      </c>
      <c r="L11" s="115" t="s">
        <v>67</v>
      </c>
      <c r="M11" s="116" t="s">
        <v>16</v>
      </c>
      <c r="N11" s="116" t="s">
        <v>86</v>
      </c>
      <c r="O11" s="116" t="s">
        <v>85</v>
      </c>
    </row>
    <row r="12" spans="1:17" x14ac:dyDescent="0.2">
      <c r="A12" s="95" t="s">
        <v>17</v>
      </c>
      <c r="B12" s="108" t="s">
        <v>18</v>
      </c>
      <c r="C12" s="204"/>
      <c r="D12" s="204"/>
      <c r="E12" s="204"/>
      <c r="F12" s="109">
        <f>+G8</f>
        <v>145.55000000000001</v>
      </c>
      <c r="G12" s="109" t="s">
        <v>19</v>
      </c>
      <c r="H12" s="109" t="s">
        <v>19</v>
      </c>
      <c r="I12" s="109" t="s">
        <v>19</v>
      </c>
      <c r="J12" s="117">
        <f>+L8</f>
        <v>57.142930000000007</v>
      </c>
      <c r="K12" s="118">
        <f>+M8</f>
        <v>109.16250000000001</v>
      </c>
      <c r="L12" s="119">
        <f>SUM(F12:J12)</f>
        <v>202.69293000000002</v>
      </c>
      <c r="M12" s="120">
        <f>+($C12+($D12/(Budgetark!$G$6)+$E12*3/4))*$F12+N12+O12/(Budgetark!$G$6)</f>
        <v>0</v>
      </c>
      <c r="N12" s="121">
        <f>SUM(G12:J12)*ROUNDUP(C12*2,0)/2</f>
        <v>0</v>
      </c>
      <c r="O12" s="122">
        <f>SUM(G12:J12)*ROUNDUP(D12*2,0)/2</f>
        <v>0</v>
      </c>
      <c r="Q12" s="111"/>
    </row>
    <row r="13" spans="1:17" x14ac:dyDescent="0.2">
      <c r="A13" s="95" t="s">
        <v>17</v>
      </c>
      <c r="B13" s="123" t="s">
        <v>20</v>
      </c>
      <c r="C13" s="204"/>
      <c r="D13" s="204"/>
      <c r="E13" s="204"/>
      <c r="F13" s="109">
        <f>+G8</f>
        <v>145.55000000000001</v>
      </c>
      <c r="G13" s="109"/>
      <c r="H13" s="109"/>
      <c r="I13" s="109"/>
      <c r="J13" s="117"/>
      <c r="K13" s="118">
        <f>+M8</f>
        <v>109.16250000000001</v>
      </c>
      <c r="L13" s="119">
        <f>SUM(F13:J13)</f>
        <v>145.55000000000001</v>
      </c>
      <c r="M13" s="120">
        <f>+($C13+($D13/(Budgetark!$G$6)+$E13*3/4))*$F13+N13+O13/(Budgetark!$G$6)</f>
        <v>0</v>
      </c>
      <c r="N13" s="121">
        <f t="shared" ref="N13:N46" si="0">SUM(G13:J13)*ROUNDUP(C13*2,0)/2</f>
        <v>0</v>
      </c>
      <c r="O13" s="122">
        <f t="shared" ref="O13:O46" si="1">SUM(G13:J13)*ROUNDUP(D13*2,0)/2</f>
        <v>0</v>
      </c>
      <c r="Q13" s="111"/>
    </row>
    <row r="14" spans="1:17" x14ac:dyDescent="0.2">
      <c r="A14" s="95" t="s">
        <v>17</v>
      </c>
      <c r="B14" s="123" t="s">
        <v>21</v>
      </c>
      <c r="C14" s="204"/>
      <c r="D14" s="204"/>
      <c r="E14" s="204"/>
      <c r="F14" s="109">
        <f>+G8</f>
        <v>145.55000000000001</v>
      </c>
      <c r="G14" s="109"/>
      <c r="H14" s="109"/>
      <c r="I14" s="109">
        <f>+K8</f>
        <v>51.117160000000005</v>
      </c>
      <c r="J14" s="117"/>
      <c r="K14" s="118">
        <f>+M8</f>
        <v>109.16250000000001</v>
      </c>
      <c r="L14" s="119">
        <f>SUM(F14:J14)</f>
        <v>196.66716000000002</v>
      </c>
      <c r="M14" s="120">
        <f>+($C14+($D14/(Budgetark!$G$6)+$E14*3/4))*$F14+N14+O14/(Budgetark!$G$6)</f>
        <v>0</v>
      </c>
      <c r="N14" s="121">
        <f t="shared" si="0"/>
        <v>0</v>
      </c>
      <c r="O14" s="122">
        <f t="shared" si="1"/>
        <v>0</v>
      </c>
      <c r="P14" s="124"/>
      <c r="Q14" s="111"/>
    </row>
    <row r="15" spans="1:17" x14ac:dyDescent="0.2">
      <c r="A15" s="95" t="s">
        <v>17</v>
      </c>
      <c r="B15" s="108" t="s">
        <v>22</v>
      </c>
      <c r="C15" s="204"/>
      <c r="D15" s="204"/>
      <c r="E15" s="204"/>
      <c r="F15" s="109">
        <f>+G8</f>
        <v>145.55000000000001</v>
      </c>
      <c r="G15" s="109"/>
      <c r="H15" s="109"/>
      <c r="I15" s="109" t="s">
        <v>19</v>
      </c>
      <c r="J15" s="117">
        <f>+L8</f>
        <v>57.142930000000007</v>
      </c>
      <c r="K15" s="118">
        <f>+M8</f>
        <v>109.16250000000001</v>
      </c>
      <c r="L15" s="119">
        <f>SUM(F15:J15)</f>
        <v>202.69293000000002</v>
      </c>
      <c r="M15" s="120">
        <f>+($C15+($D15/(Budgetark!$G$6)+$E15*3/4))*$F15+N15+O15/(Budgetark!$G$6)</f>
        <v>0</v>
      </c>
      <c r="N15" s="121">
        <f t="shared" si="0"/>
        <v>0</v>
      </c>
      <c r="O15" s="122">
        <f t="shared" si="1"/>
        <v>0</v>
      </c>
      <c r="Q15" s="111"/>
    </row>
    <row r="16" spans="1:17" x14ac:dyDescent="0.2">
      <c r="A16" s="39"/>
      <c r="B16" s="2"/>
      <c r="C16" s="125"/>
      <c r="D16" s="125"/>
      <c r="E16" s="125"/>
      <c r="F16" s="125" t="s">
        <v>19</v>
      </c>
      <c r="G16" s="125"/>
      <c r="H16" s="125"/>
      <c r="I16" s="125"/>
      <c r="J16" s="125"/>
      <c r="K16" s="126"/>
      <c r="L16" s="127" t="s">
        <v>19</v>
      </c>
      <c r="M16" s="120"/>
      <c r="N16" s="121"/>
      <c r="O16" s="122"/>
    </row>
    <row r="17" spans="1:16" x14ac:dyDescent="0.2">
      <c r="A17" s="95" t="s">
        <v>23</v>
      </c>
      <c r="B17" s="108" t="s">
        <v>18</v>
      </c>
      <c r="C17" s="204"/>
      <c r="D17" s="204"/>
      <c r="E17" s="204"/>
      <c r="F17" s="109">
        <f>+G8</f>
        <v>145.55000000000001</v>
      </c>
      <c r="G17" s="109" t="s">
        <v>19</v>
      </c>
      <c r="H17" s="109" t="s">
        <v>19</v>
      </c>
      <c r="I17" s="109" t="s">
        <v>19</v>
      </c>
      <c r="J17" s="117">
        <f>+L8</f>
        <v>57.142930000000007</v>
      </c>
      <c r="K17" s="118">
        <f>+M8</f>
        <v>109.16250000000001</v>
      </c>
      <c r="L17" s="119">
        <f>SUM(F17:J17)</f>
        <v>202.69293000000002</v>
      </c>
      <c r="M17" s="120">
        <f>+($C17+($D17/(Budgetark!$G$6)+$E17*3/4))*$F17+N17+O17/(Budgetark!$G$6)</f>
        <v>0</v>
      </c>
      <c r="N17" s="121">
        <f t="shared" si="0"/>
        <v>0</v>
      </c>
      <c r="O17" s="122">
        <f t="shared" si="1"/>
        <v>0</v>
      </c>
      <c r="P17" s="128"/>
    </row>
    <row r="18" spans="1:16" x14ac:dyDescent="0.2">
      <c r="A18" s="95" t="s">
        <v>23</v>
      </c>
      <c r="B18" s="123" t="s">
        <v>20</v>
      </c>
      <c r="C18" s="204"/>
      <c r="D18" s="204"/>
      <c r="E18" s="204"/>
      <c r="F18" s="109">
        <f>+G8</f>
        <v>145.55000000000001</v>
      </c>
      <c r="G18" s="109"/>
      <c r="H18" s="109"/>
      <c r="I18" s="109"/>
      <c r="J18" s="117"/>
      <c r="K18" s="118">
        <f>+M8</f>
        <v>109.16250000000001</v>
      </c>
      <c r="L18" s="119">
        <f>SUM(F18:J18)</f>
        <v>145.55000000000001</v>
      </c>
      <c r="M18" s="120">
        <f>+($C18+($D18/(Budgetark!$G$6)+$E18*3/4))*$F18+N18+O18/(Budgetark!$G$6)</f>
        <v>0</v>
      </c>
      <c r="N18" s="121">
        <f t="shared" si="0"/>
        <v>0</v>
      </c>
      <c r="O18" s="122">
        <f t="shared" si="1"/>
        <v>0</v>
      </c>
      <c r="P18" s="128"/>
    </row>
    <row r="19" spans="1:16" x14ac:dyDescent="0.2">
      <c r="A19" s="95" t="s">
        <v>23</v>
      </c>
      <c r="B19" s="123" t="s">
        <v>21</v>
      </c>
      <c r="C19" s="204"/>
      <c r="D19" s="204"/>
      <c r="E19" s="204"/>
      <c r="F19" s="109">
        <f>+G8</f>
        <v>145.55000000000001</v>
      </c>
      <c r="G19" s="109"/>
      <c r="H19" s="109"/>
      <c r="I19" s="109">
        <f>+K8</f>
        <v>51.117160000000005</v>
      </c>
      <c r="J19" s="117"/>
      <c r="K19" s="118">
        <f>+M8</f>
        <v>109.16250000000001</v>
      </c>
      <c r="L19" s="119">
        <f>SUM(F19:J19)</f>
        <v>196.66716000000002</v>
      </c>
      <c r="M19" s="120">
        <f>+($C19+($D19/(Budgetark!$G$6)+$E19*3/4))*$F19+N19+O19/(Budgetark!$G$6)</f>
        <v>0</v>
      </c>
      <c r="N19" s="121">
        <f t="shared" si="0"/>
        <v>0</v>
      </c>
      <c r="O19" s="122">
        <f t="shared" si="1"/>
        <v>0</v>
      </c>
      <c r="P19" s="129"/>
    </row>
    <row r="20" spans="1:16" x14ac:dyDescent="0.2">
      <c r="A20" s="95" t="s">
        <v>23</v>
      </c>
      <c r="B20" s="108" t="s">
        <v>22</v>
      </c>
      <c r="C20" s="204"/>
      <c r="D20" s="204"/>
      <c r="E20" s="204"/>
      <c r="F20" s="109">
        <f>+G8</f>
        <v>145.55000000000001</v>
      </c>
      <c r="G20" s="109"/>
      <c r="H20" s="109"/>
      <c r="I20" s="109" t="s">
        <v>19</v>
      </c>
      <c r="J20" s="117">
        <f>+L8</f>
        <v>57.142930000000007</v>
      </c>
      <c r="K20" s="118">
        <f>+M8</f>
        <v>109.16250000000001</v>
      </c>
      <c r="L20" s="119">
        <f>SUM(F20:J20)</f>
        <v>202.69293000000002</v>
      </c>
      <c r="M20" s="120">
        <f>+($C20+($D20/(Budgetark!$G$6)+$E20*3/4))*$F20+N20+O20/(Budgetark!$G$6)</f>
        <v>0</v>
      </c>
      <c r="N20" s="121">
        <f t="shared" si="0"/>
        <v>0</v>
      </c>
      <c r="O20" s="122">
        <f t="shared" si="1"/>
        <v>0</v>
      </c>
      <c r="P20" s="129"/>
    </row>
    <row r="21" spans="1:16" x14ac:dyDescent="0.2">
      <c r="A21" s="39"/>
      <c r="B21" s="2"/>
      <c r="C21" s="125"/>
      <c r="D21" s="125"/>
      <c r="E21" s="125"/>
      <c r="F21" s="125" t="s">
        <v>19</v>
      </c>
      <c r="G21" s="125"/>
      <c r="H21" s="125"/>
      <c r="I21" s="125"/>
      <c r="J21" s="125"/>
      <c r="K21" s="126"/>
      <c r="L21" s="127" t="s">
        <v>19</v>
      </c>
      <c r="M21" s="120"/>
      <c r="N21" s="121"/>
      <c r="O21" s="122"/>
    </row>
    <row r="22" spans="1:16" x14ac:dyDescent="0.2">
      <c r="A22" s="95" t="s">
        <v>24</v>
      </c>
      <c r="B22" s="108" t="s">
        <v>18</v>
      </c>
      <c r="C22" s="204"/>
      <c r="D22" s="204"/>
      <c r="E22" s="204"/>
      <c r="F22" s="109">
        <f>+G8</f>
        <v>145.55000000000001</v>
      </c>
      <c r="G22" s="109" t="s">
        <v>19</v>
      </c>
      <c r="H22" s="109" t="s">
        <v>19</v>
      </c>
      <c r="I22" s="109" t="s">
        <v>19</v>
      </c>
      <c r="J22" s="117">
        <f>+L8</f>
        <v>57.142930000000007</v>
      </c>
      <c r="K22" s="118">
        <f>+M8</f>
        <v>109.16250000000001</v>
      </c>
      <c r="L22" s="119">
        <f>SUM(F22:J22)</f>
        <v>202.69293000000002</v>
      </c>
      <c r="M22" s="120">
        <f>+($C22+($D22/(Budgetark!$G$6)+$E22*3/4))*$F22+N22+O22/(Budgetark!$G$6)</f>
        <v>0</v>
      </c>
      <c r="N22" s="121">
        <f t="shared" si="0"/>
        <v>0</v>
      </c>
      <c r="O22" s="122">
        <f t="shared" si="1"/>
        <v>0</v>
      </c>
    </row>
    <row r="23" spans="1:16" x14ac:dyDescent="0.2">
      <c r="A23" s="95" t="s">
        <v>24</v>
      </c>
      <c r="B23" s="123" t="s">
        <v>20</v>
      </c>
      <c r="C23" s="204"/>
      <c r="D23" s="204"/>
      <c r="E23" s="204"/>
      <c r="F23" s="109">
        <f>+G8</f>
        <v>145.55000000000001</v>
      </c>
      <c r="G23" s="109"/>
      <c r="H23" s="109"/>
      <c r="I23" s="109"/>
      <c r="J23" s="117"/>
      <c r="K23" s="118">
        <f>+M8</f>
        <v>109.16250000000001</v>
      </c>
      <c r="L23" s="119">
        <f>SUM(F23:J23)</f>
        <v>145.55000000000001</v>
      </c>
      <c r="M23" s="120">
        <f>+($C23+($D23/(Budgetark!$G$6)+$E23*3/4))*$F23+N23+O23/(Budgetark!$G$6)</f>
        <v>0</v>
      </c>
      <c r="N23" s="121">
        <f t="shared" si="0"/>
        <v>0</v>
      </c>
      <c r="O23" s="122">
        <f t="shared" si="1"/>
        <v>0</v>
      </c>
    </row>
    <row r="24" spans="1:16" x14ac:dyDescent="0.2">
      <c r="A24" s="95" t="s">
        <v>24</v>
      </c>
      <c r="B24" s="123" t="s">
        <v>21</v>
      </c>
      <c r="C24" s="204"/>
      <c r="D24" s="204"/>
      <c r="E24" s="204"/>
      <c r="F24" s="109">
        <f>+G8</f>
        <v>145.55000000000001</v>
      </c>
      <c r="G24" s="109"/>
      <c r="H24" s="109"/>
      <c r="I24" s="109">
        <f>+K8</f>
        <v>51.117160000000005</v>
      </c>
      <c r="J24" s="117"/>
      <c r="K24" s="118">
        <f>+M8</f>
        <v>109.16250000000001</v>
      </c>
      <c r="L24" s="119">
        <f>SUM(F24:J24)</f>
        <v>196.66716000000002</v>
      </c>
      <c r="M24" s="120">
        <f>+($C24+($D24/(Budgetark!$G$6)+$E24*3/4))*$F24+N24+O24/(Budgetark!$G$6)</f>
        <v>0</v>
      </c>
      <c r="N24" s="121">
        <f t="shared" si="0"/>
        <v>0</v>
      </c>
      <c r="O24" s="122">
        <f t="shared" si="1"/>
        <v>0</v>
      </c>
    </row>
    <row r="25" spans="1:16" x14ac:dyDescent="0.2">
      <c r="A25" s="95" t="s">
        <v>24</v>
      </c>
      <c r="B25" s="108" t="s">
        <v>22</v>
      </c>
      <c r="C25" s="204"/>
      <c r="D25" s="204"/>
      <c r="E25" s="204"/>
      <c r="F25" s="109">
        <f>+G8</f>
        <v>145.55000000000001</v>
      </c>
      <c r="G25" s="109"/>
      <c r="H25" s="109"/>
      <c r="I25" s="109" t="s">
        <v>19</v>
      </c>
      <c r="J25" s="117">
        <f>+L8</f>
        <v>57.142930000000007</v>
      </c>
      <c r="K25" s="118">
        <f>+M8</f>
        <v>109.16250000000001</v>
      </c>
      <c r="L25" s="119">
        <f>SUM(F25:J25)</f>
        <v>202.69293000000002</v>
      </c>
      <c r="M25" s="120">
        <f>+($C25+($D25/(Budgetark!$G$6)+$E25*3/4))*$F25+N25+O25/(Budgetark!$G$6)</f>
        <v>0</v>
      </c>
      <c r="N25" s="121">
        <f t="shared" si="0"/>
        <v>0</v>
      </c>
      <c r="O25" s="122">
        <f t="shared" si="1"/>
        <v>0</v>
      </c>
    </row>
    <row r="26" spans="1:16" x14ac:dyDescent="0.2">
      <c r="A26" s="39"/>
      <c r="B26" s="2"/>
      <c r="C26" s="125"/>
      <c r="D26" s="125"/>
      <c r="E26" s="125"/>
      <c r="F26" s="125" t="s">
        <v>19</v>
      </c>
      <c r="G26" s="125"/>
      <c r="H26" s="125"/>
      <c r="I26" s="125"/>
      <c r="J26" s="125"/>
      <c r="K26" s="126"/>
      <c r="L26" s="127" t="s">
        <v>19</v>
      </c>
      <c r="M26" s="120"/>
      <c r="N26" s="121"/>
      <c r="O26" s="122"/>
    </row>
    <row r="27" spans="1:16" x14ac:dyDescent="0.2">
      <c r="A27" s="95" t="s">
        <v>25</v>
      </c>
      <c r="B27" s="108" t="s">
        <v>18</v>
      </c>
      <c r="C27" s="204"/>
      <c r="D27" s="204"/>
      <c r="E27" s="204"/>
      <c r="F27" s="109">
        <f>+G8</f>
        <v>145.55000000000001</v>
      </c>
      <c r="G27" s="109" t="s">
        <v>19</v>
      </c>
      <c r="H27" s="109" t="s">
        <v>19</v>
      </c>
      <c r="I27" s="109" t="s">
        <v>19</v>
      </c>
      <c r="J27" s="117">
        <f>+L8</f>
        <v>57.142930000000007</v>
      </c>
      <c r="K27" s="118">
        <f>+M8</f>
        <v>109.16250000000001</v>
      </c>
      <c r="L27" s="119">
        <f>SUM(F27:J27)</f>
        <v>202.69293000000002</v>
      </c>
      <c r="M27" s="120">
        <f>+($C27+($D27/(Budgetark!$G$6)+$E27*3/4))*$F27+N27+O27/(Budgetark!$G$6)</f>
        <v>0</v>
      </c>
      <c r="N27" s="121">
        <f t="shared" si="0"/>
        <v>0</v>
      </c>
      <c r="O27" s="122">
        <f t="shared" si="1"/>
        <v>0</v>
      </c>
    </row>
    <row r="28" spans="1:16" x14ac:dyDescent="0.2">
      <c r="A28" s="95" t="s">
        <v>25</v>
      </c>
      <c r="B28" s="123" t="s">
        <v>20</v>
      </c>
      <c r="C28" s="204"/>
      <c r="D28" s="204"/>
      <c r="E28" s="204"/>
      <c r="F28" s="109">
        <f>+G8</f>
        <v>145.55000000000001</v>
      </c>
      <c r="G28" s="109"/>
      <c r="H28" s="109"/>
      <c r="I28" s="109"/>
      <c r="J28" s="117"/>
      <c r="K28" s="118">
        <f>+M8</f>
        <v>109.16250000000001</v>
      </c>
      <c r="L28" s="119">
        <f>SUM(F28:J28)</f>
        <v>145.55000000000001</v>
      </c>
      <c r="M28" s="120">
        <f>+($C28+($D28/(Budgetark!$G$6)+$E28*3/4))*$F28+N28+O28/(Budgetark!$G$6)</f>
        <v>0</v>
      </c>
      <c r="N28" s="121">
        <f t="shared" si="0"/>
        <v>0</v>
      </c>
      <c r="O28" s="122">
        <f t="shared" si="1"/>
        <v>0</v>
      </c>
    </row>
    <row r="29" spans="1:16" x14ac:dyDescent="0.2">
      <c r="A29" s="95" t="s">
        <v>25</v>
      </c>
      <c r="B29" s="123" t="s">
        <v>21</v>
      </c>
      <c r="C29" s="204"/>
      <c r="D29" s="204"/>
      <c r="E29" s="204"/>
      <c r="F29" s="109">
        <f>+G8</f>
        <v>145.55000000000001</v>
      </c>
      <c r="G29" s="109"/>
      <c r="H29" s="109"/>
      <c r="I29" s="109">
        <f>+K8</f>
        <v>51.117160000000005</v>
      </c>
      <c r="J29" s="117" t="s">
        <v>19</v>
      </c>
      <c r="K29" s="118">
        <f>+M8</f>
        <v>109.16250000000001</v>
      </c>
      <c r="L29" s="119">
        <f>SUM(F29:J29)</f>
        <v>196.66716000000002</v>
      </c>
      <c r="M29" s="120">
        <f>+($C29+($D29/(Budgetark!$G$6)+$E29*3/4))*$F29+N29+O29/(Budgetark!$G$6)</f>
        <v>0</v>
      </c>
      <c r="N29" s="121">
        <f t="shared" si="0"/>
        <v>0</v>
      </c>
      <c r="O29" s="122">
        <f t="shared" si="1"/>
        <v>0</v>
      </c>
    </row>
    <row r="30" spans="1:16" x14ac:dyDescent="0.2">
      <c r="A30" s="95" t="s">
        <v>25</v>
      </c>
      <c r="B30" s="108" t="s">
        <v>22</v>
      </c>
      <c r="C30" s="204"/>
      <c r="D30" s="204"/>
      <c r="E30" s="204"/>
      <c r="F30" s="109">
        <f>+G8</f>
        <v>145.55000000000001</v>
      </c>
      <c r="G30" s="109"/>
      <c r="H30" s="109"/>
      <c r="I30" s="109" t="s">
        <v>19</v>
      </c>
      <c r="J30" s="117">
        <f>+L8</f>
        <v>57.142930000000007</v>
      </c>
      <c r="K30" s="118">
        <f>+M8</f>
        <v>109.16250000000001</v>
      </c>
      <c r="L30" s="119">
        <f>SUM(F30:J30)</f>
        <v>202.69293000000002</v>
      </c>
      <c r="M30" s="120">
        <f>+($C30+($D30/(Budgetark!$G$6)+$E30*3/4))*$F30+N30+O30/(Budgetark!$G$6)</f>
        <v>0</v>
      </c>
      <c r="N30" s="121">
        <f t="shared" si="0"/>
        <v>0</v>
      </c>
      <c r="O30" s="122">
        <f t="shared" si="1"/>
        <v>0</v>
      </c>
    </row>
    <row r="31" spans="1:16" x14ac:dyDescent="0.2">
      <c r="A31" s="39"/>
      <c r="B31" s="2"/>
      <c r="C31" s="125"/>
      <c r="D31" s="125"/>
      <c r="E31" s="125"/>
      <c r="F31" s="125" t="s">
        <v>19</v>
      </c>
      <c r="G31" s="125"/>
      <c r="H31" s="125"/>
      <c r="I31" s="125"/>
      <c r="J31" s="125"/>
      <c r="K31" s="126"/>
      <c r="L31" s="127" t="s">
        <v>19</v>
      </c>
      <c r="M31" s="120"/>
      <c r="N31" s="121"/>
      <c r="O31" s="122"/>
    </row>
    <row r="32" spans="1:16" x14ac:dyDescent="0.2">
      <c r="A32" s="95" t="s">
        <v>26</v>
      </c>
      <c r="B32" s="108" t="s">
        <v>18</v>
      </c>
      <c r="C32" s="204"/>
      <c r="D32" s="204"/>
      <c r="E32" s="204"/>
      <c r="F32" s="109">
        <f>+G8</f>
        <v>145.55000000000001</v>
      </c>
      <c r="G32" s="109" t="s">
        <v>19</v>
      </c>
      <c r="H32" s="109" t="s">
        <v>19</v>
      </c>
      <c r="I32" s="109" t="s">
        <v>19</v>
      </c>
      <c r="J32" s="117">
        <f>+L8</f>
        <v>57.142930000000007</v>
      </c>
      <c r="K32" s="118">
        <f>+M8</f>
        <v>109.16250000000001</v>
      </c>
      <c r="L32" s="119">
        <f>SUM(F32:J32)</f>
        <v>202.69293000000002</v>
      </c>
      <c r="M32" s="120">
        <f>+($C32+($D32/(Budgetark!$G$6)+$E32*3/4))*$F32+N32+O32/(Budgetark!$G$6)</f>
        <v>0</v>
      </c>
      <c r="N32" s="121">
        <f t="shared" si="0"/>
        <v>0</v>
      </c>
      <c r="O32" s="122">
        <f t="shared" si="1"/>
        <v>0</v>
      </c>
    </row>
    <row r="33" spans="1:16" x14ac:dyDescent="0.2">
      <c r="A33" s="95" t="s">
        <v>26</v>
      </c>
      <c r="B33" s="123" t="s">
        <v>20</v>
      </c>
      <c r="C33" s="204"/>
      <c r="D33" s="204"/>
      <c r="E33" s="204"/>
      <c r="F33" s="109">
        <f>+G8</f>
        <v>145.55000000000001</v>
      </c>
      <c r="G33" s="109"/>
      <c r="H33" s="109"/>
      <c r="I33" s="109"/>
      <c r="J33" s="117"/>
      <c r="K33" s="118">
        <f>+M8</f>
        <v>109.16250000000001</v>
      </c>
      <c r="L33" s="119">
        <f>SUM(F33:J33)</f>
        <v>145.55000000000001</v>
      </c>
      <c r="M33" s="120">
        <f>+($C33+($D33/(Budgetark!$G$6)+$E33*3/4))*$F33+N33+O33/(Budgetark!$G$6)</f>
        <v>0</v>
      </c>
      <c r="N33" s="121">
        <f t="shared" si="0"/>
        <v>0</v>
      </c>
      <c r="O33" s="122">
        <f t="shared" si="1"/>
        <v>0</v>
      </c>
    </row>
    <row r="34" spans="1:16" x14ac:dyDescent="0.2">
      <c r="A34" s="95" t="s">
        <v>26</v>
      </c>
      <c r="B34" s="123" t="s">
        <v>21</v>
      </c>
      <c r="C34" s="204"/>
      <c r="D34" s="204"/>
      <c r="E34" s="204"/>
      <c r="F34" s="109">
        <f>+G8</f>
        <v>145.55000000000001</v>
      </c>
      <c r="G34" s="109"/>
      <c r="H34" s="109"/>
      <c r="I34" s="109">
        <f>+K8</f>
        <v>51.117160000000005</v>
      </c>
      <c r="J34" s="117"/>
      <c r="K34" s="118">
        <f>+M8</f>
        <v>109.16250000000001</v>
      </c>
      <c r="L34" s="119">
        <f>SUM(F34:J34)</f>
        <v>196.66716000000002</v>
      </c>
      <c r="M34" s="120">
        <f>+($C34+($D34/(Budgetark!$G$6)+$E34*3/4))*$F34+N34+O34/(Budgetark!$G$6)</f>
        <v>0</v>
      </c>
      <c r="N34" s="121">
        <f t="shared" si="0"/>
        <v>0</v>
      </c>
      <c r="O34" s="122">
        <f t="shared" si="1"/>
        <v>0</v>
      </c>
    </row>
    <row r="35" spans="1:16" x14ac:dyDescent="0.2">
      <c r="A35" s="95" t="s">
        <v>26</v>
      </c>
      <c r="B35" s="108" t="s">
        <v>22</v>
      </c>
      <c r="C35" s="204"/>
      <c r="D35" s="204"/>
      <c r="E35" s="204"/>
      <c r="F35" s="109">
        <f>+G8</f>
        <v>145.55000000000001</v>
      </c>
      <c r="G35" s="109"/>
      <c r="H35" s="109"/>
      <c r="I35" s="109" t="s">
        <v>19</v>
      </c>
      <c r="J35" s="117">
        <f>+L8</f>
        <v>57.142930000000007</v>
      </c>
      <c r="K35" s="118">
        <f>+M8</f>
        <v>109.16250000000001</v>
      </c>
      <c r="L35" s="119">
        <f>SUM(F35:J35)</f>
        <v>202.69293000000002</v>
      </c>
      <c r="M35" s="120">
        <f>+($C35+($D35/(Budgetark!$G$6)+$E35*3/4))*$F35+N35+O35/(Budgetark!$G$6)</f>
        <v>0</v>
      </c>
      <c r="N35" s="121">
        <f t="shared" si="0"/>
        <v>0</v>
      </c>
      <c r="O35" s="122">
        <f t="shared" si="1"/>
        <v>0</v>
      </c>
    </row>
    <row r="36" spans="1:16" x14ac:dyDescent="0.2">
      <c r="A36" s="39"/>
      <c r="B36" s="2"/>
      <c r="C36" s="125"/>
      <c r="D36" s="125"/>
      <c r="E36" s="125"/>
      <c r="F36" s="125" t="s">
        <v>19</v>
      </c>
      <c r="G36" s="125"/>
      <c r="H36" s="125"/>
      <c r="I36" s="125"/>
      <c r="J36" s="125"/>
      <c r="K36" s="126"/>
      <c r="L36" s="127" t="s">
        <v>19</v>
      </c>
      <c r="M36" s="120"/>
      <c r="N36" s="121"/>
      <c r="O36" s="122"/>
    </row>
    <row r="37" spans="1:16" x14ac:dyDescent="0.2">
      <c r="A37" s="95" t="s">
        <v>27</v>
      </c>
      <c r="B37" s="108" t="s">
        <v>18</v>
      </c>
      <c r="C37" s="204"/>
      <c r="D37" s="204"/>
      <c r="E37" s="204"/>
      <c r="F37" s="109">
        <f>+G8</f>
        <v>145.55000000000001</v>
      </c>
      <c r="G37" s="109"/>
      <c r="H37" s="109"/>
      <c r="I37" s="109" t="s">
        <v>19</v>
      </c>
      <c r="J37" s="117">
        <f>+L8</f>
        <v>57.142930000000007</v>
      </c>
      <c r="K37" s="118">
        <f>+M8</f>
        <v>109.16250000000001</v>
      </c>
      <c r="L37" s="119">
        <f>SUM(F37:J37)</f>
        <v>202.69293000000002</v>
      </c>
      <c r="M37" s="120">
        <f>+($C37+($D37/(Budgetark!$G$6)+$E37*3/4))*$F37+N37+O37/(Budgetark!$G$6)</f>
        <v>0</v>
      </c>
      <c r="N37" s="121">
        <f t="shared" si="0"/>
        <v>0</v>
      </c>
      <c r="O37" s="122">
        <f t="shared" si="1"/>
        <v>0</v>
      </c>
    </row>
    <row r="38" spans="1:16" x14ac:dyDescent="0.2">
      <c r="A38" s="95" t="s">
        <v>27</v>
      </c>
      <c r="B38" s="123" t="s">
        <v>69</v>
      </c>
      <c r="C38" s="204"/>
      <c r="D38" s="204"/>
      <c r="E38" s="204"/>
      <c r="F38" s="109">
        <f>+G8</f>
        <v>145.55000000000001</v>
      </c>
      <c r="G38" s="109"/>
      <c r="H38" s="109"/>
      <c r="I38" s="109"/>
      <c r="J38" s="117"/>
      <c r="K38" s="118">
        <f>+M8</f>
        <v>109.16250000000001</v>
      </c>
      <c r="L38" s="119">
        <f>SUM(F38:J38)</f>
        <v>145.55000000000001</v>
      </c>
      <c r="M38" s="120">
        <f>+($C38+($D38/(Budgetark!$G$6)+$E38*3/4))*$F38+N38+O38/(Budgetark!$G$6)</f>
        <v>0</v>
      </c>
      <c r="N38" s="121">
        <f t="shared" si="0"/>
        <v>0</v>
      </c>
      <c r="O38" s="122">
        <f t="shared" si="1"/>
        <v>0</v>
      </c>
    </row>
    <row r="39" spans="1:16" x14ac:dyDescent="0.2">
      <c r="A39" s="95" t="s">
        <v>27</v>
      </c>
      <c r="B39" s="108" t="s">
        <v>70</v>
      </c>
      <c r="C39" s="204"/>
      <c r="D39" s="204"/>
      <c r="E39" s="204"/>
      <c r="F39" s="109">
        <f>+G8</f>
        <v>145.55000000000001</v>
      </c>
      <c r="G39" s="109" t="s">
        <v>19</v>
      </c>
      <c r="H39" s="109">
        <f>+J8</f>
        <v>46.153905000000002</v>
      </c>
      <c r="I39" s="109" t="s">
        <v>19</v>
      </c>
      <c r="J39" s="117"/>
      <c r="K39" s="118">
        <f>+M8</f>
        <v>109.16250000000001</v>
      </c>
      <c r="L39" s="119">
        <f>SUM(F39:J39)</f>
        <v>191.70390500000002</v>
      </c>
      <c r="M39" s="120">
        <f>+($C39+($D39/(Budgetark!$G$6)+$E39*3/4))*$F39+N39+O39/(Budgetark!$G$6)</f>
        <v>0</v>
      </c>
      <c r="N39" s="121">
        <f t="shared" si="0"/>
        <v>0</v>
      </c>
      <c r="O39" s="122">
        <f t="shared" si="1"/>
        <v>0</v>
      </c>
    </row>
    <row r="40" spans="1:16" x14ac:dyDescent="0.2">
      <c r="A40" s="95" t="s">
        <v>27</v>
      </c>
      <c r="B40" s="108" t="s">
        <v>21</v>
      </c>
      <c r="C40" s="204"/>
      <c r="D40" s="204"/>
      <c r="E40" s="204"/>
      <c r="F40" s="109">
        <f>+G8</f>
        <v>145.55000000000001</v>
      </c>
      <c r="G40" s="109" t="s">
        <v>19</v>
      </c>
      <c r="H40" s="109">
        <f>+J8</f>
        <v>46.153905000000002</v>
      </c>
      <c r="I40" s="109">
        <f>+K8</f>
        <v>51.117160000000005</v>
      </c>
      <c r="J40" s="117"/>
      <c r="K40" s="118">
        <f>+M8</f>
        <v>109.16250000000001</v>
      </c>
      <c r="L40" s="119">
        <f>SUM(F40:J40)</f>
        <v>242.82106500000003</v>
      </c>
      <c r="M40" s="120">
        <f>+($C40+($D40/(Budgetark!$G$6)+$E40*3/4))*$F40+N40+O40/(Budgetark!$G$6)</f>
        <v>0</v>
      </c>
      <c r="N40" s="121">
        <f t="shared" si="0"/>
        <v>0</v>
      </c>
      <c r="O40" s="122">
        <f t="shared" si="1"/>
        <v>0</v>
      </c>
    </row>
    <row r="41" spans="1:16" x14ac:dyDescent="0.2">
      <c r="A41" s="95" t="s">
        <v>27</v>
      </c>
      <c r="B41" s="108" t="s">
        <v>22</v>
      </c>
      <c r="C41" s="204"/>
      <c r="D41" s="204"/>
      <c r="E41" s="204"/>
      <c r="F41" s="109">
        <f>+G8</f>
        <v>145.55000000000001</v>
      </c>
      <c r="G41" s="109" t="s">
        <v>19</v>
      </c>
      <c r="H41" s="109">
        <f>+J8</f>
        <v>46.153905000000002</v>
      </c>
      <c r="I41" s="109" t="s">
        <v>19</v>
      </c>
      <c r="J41" s="117">
        <f>+L8</f>
        <v>57.142930000000007</v>
      </c>
      <c r="K41" s="118">
        <f>+M8</f>
        <v>109.16250000000001</v>
      </c>
      <c r="L41" s="119">
        <f>SUM(F41:J41)</f>
        <v>248.84683500000003</v>
      </c>
      <c r="M41" s="120">
        <f>+($C41+($D41/(Budgetark!$G$6)+$E41*3/4))*$F41+N41+O41/(Budgetark!$G$6)</f>
        <v>0</v>
      </c>
      <c r="N41" s="121">
        <f t="shared" si="0"/>
        <v>0</v>
      </c>
      <c r="O41" s="122">
        <f t="shared" si="1"/>
        <v>0</v>
      </c>
    </row>
    <row r="42" spans="1:16" x14ac:dyDescent="0.2">
      <c r="A42" s="39"/>
      <c r="B42" s="2"/>
      <c r="C42" s="125"/>
      <c r="D42" s="125"/>
      <c r="E42" s="125"/>
      <c r="F42" s="125" t="s">
        <v>19</v>
      </c>
      <c r="G42" s="125"/>
      <c r="H42" s="125"/>
      <c r="I42" s="125"/>
      <c r="J42" s="125"/>
      <c r="K42" s="126"/>
      <c r="L42" s="127" t="s">
        <v>19</v>
      </c>
      <c r="M42" s="120"/>
      <c r="N42" s="121"/>
      <c r="O42" s="122"/>
    </row>
    <row r="43" spans="1:16" x14ac:dyDescent="0.2">
      <c r="A43" s="95" t="s">
        <v>28</v>
      </c>
      <c r="B43" s="108" t="s">
        <v>18</v>
      </c>
      <c r="C43" s="204"/>
      <c r="D43" s="204"/>
      <c r="E43" s="204"/>
      <c r="F43" s="109">
        <f>+G8</f>
        <v>145.55000000000001</v>
      </c>
      <c r="G43" s="109">
        <f>+I8</f>
        <v>72.775000000000006</v>
      </c>
      <c r="H43" s="109"/>
      <c r="I43" s="109" t="s">
        <v>19</v>
      </c>
      <c r="J43" s="117">
        <f>+L8</f>
        <v>57.142930000000007</v>
      </c>
      <c r="K43" s="118">
        <f>+M8</f>
        <v>109.16250000000001</v>
      </c>
      <c r="L43" s="119">
        <f>SUM(F43:J43)</f>
        <v>275.46793000000002</v>
      </c>
      <c r="M43" s="120">
        <f>+($C43+($D43/(Budgetark!$G$6)+$E43*3/4))*$F43+N43+O43/(Budgetark!$G$6)</f>
        <v>0</v>
      </c>
      <c r="N43" s="121">
        <f t="shared" si="0"/>
        <v>0</v>
      </c>
      <c r="O43" s="122">
        <f t="shared" si="1"/>
        <v>0</v>
      </c>
    </row>
    <row r="44" spans="1:16" x14ac:dyDescent="0.2">
      <c r="A44" s="95" t="s">
        <v>28</v>
      </c>
      <c r="B44" s="108" t="s">
        <v>20</v>
      </c>
      <c r="C44" s="204"/>
      <c r="D44" s="204"/>
      <c r="E44" s="204"/>
      <c r="F44" s="109">
        <f>+G8</f>
        <v>145.55000000000001</v>
      </c>
      <c r="G44" s="109">
        <f>+I8</f>
        <v>72.775000000000006</v>
      </c>
      <c r="H44" s="109"/>
      <c r="I44" s="109"/>
      <c r="J44" s="117"/>
      <c r="K44" s="118">
        <f>+M8</f>
        <v>109.16250000000001</v>
      </c>
      <c r="L44" s="119">
        <f>SUM(F44:J44)</f>
        <v>218.32500000000002</v>
      </c>
      <c r="M44" s="120">
        <f>+($C44+($D44/(Budgetark!$G$6)+$E44*3/4))*$F44+N44+O44/(Budgetark!$G$6)</f>
        <v>0</v>
      </c>
      <c r="N44" s="121">
        <f t="shared" si="0"/>
        <v>0</v>
      </c>
      <c r="O44" s="122">
        <f t="shared" si="1"/>
        <v>0</v>
      </c>
    </row>
    <row r="45" spans="1:16" x14ac:dyDescent="0.2">
      <c r="A45" s="95" t="s">
        <v>28</v>
      </c>
      <c r="B45" s="108" t="s">
        <v>21</v>
      </c>
      <c r="C45" s="204"/>
      <c r="D45" s="204"/>
      <c r="E45" s="204"/>
      <c r="F45" s="109">
        <f>+G8</f>
        <v>145.55000000000001</v>
      </c>
      <c r="G45" s="109">
        <f>+I8</f>
        <v>72.775000000000006</v>
      </c>
      <c r="H45" s="109"/>
      <c r="I45" s="109">
        <f>+K8</f>
        <v>51.117160000000005</v>
      </c>
      <c r="J45" s="117"/>
      <c r="K45" s="118">
        <f>+M8</f>
        <v>109.16250000000001</v>
      </c>
      <c r="L45" s="119">
        <f>SUM(F45:J45)</f>
        <v>269.44216</v>
      </c>
      <c r="M45" s="120">
        <f>+($C45+($D45/(Budgetark!$G$6)+$E45*3/4))*$F45+N45+O45/(Budgetark!$G$6)</f>
        <v>0</v>
      </c>
      <c r="N45" s="121">
        <f t="shared" si="0"/>
        <v>0</v>
      </c>
      <c r="O45" s="122">
        <f t="shared" si="1"/>
        <v>0</v>
      </c>
      <c r="P45" s="128"/>
    </row>
    <row r="46" spans="1:16" ht="13.15" thickBot="1" x14ac:dyDescent="0.25">
      <c r="A46" s="95" t="s">
        <v>28</v>
      </c>
      <c r="B46" s="108" t="s">
        <v>22</v>
      </c>
      <c r="C46" s="204"/>
      <c r="D46" s="204"/>
      <c r="E46" s="204"/>
      <c r="F46" s="109">
        <f>+G8</f>
        <v>145.55000000000001</v>
      </c>
      <c r="G46" s="109">
        <f>+I8</f>
        <v>72.775000000000006</v>
      </c>
      <c r="H46" s="109"/>
      <c r="I46" s="109" t="s">
        <v>19</v>
      </c>
      <c r="J46" s="117">
        <f>+L8</f>
        <v>57.142930000000007</v>
      </c>
      <c r="K46" s="130">
        <f>+M8</f>
        <v>109.16250000000001</v>
      </c>
      <c r="L46" s="131">
        <f>SUM(F46:J46)</f>
        <v>275.46793000000002</v>
      </c>
      <c r="M46" s="120">
        <f>+($C46+($D46/(Budgetark!$G$6)+$E46*3/4))*$F46+N46+O46/(Budgetark!$G$6)</f>
        <v>0</v>
      </c>
      <c r="N46" s="121">
        <f t="shared" si="0"/>
        <v>0</v>
      </c>
      <c r="O46" s="122">
        <f t="shared" si="1"/>
        <v>0</v>
      </c>
    </row>
    <row r="47" spans="1:16" x14ac:dyDescent="0.2">
      <c r="A47" s="132" t="s">
        <v>0</v>
      </c>
      <c r="B47" s="133"/>
      <c r="C47" s="134">
        <f>SUM(C12:C46)</f>
        <v>0</v>
      </c>
      <c r="D47" s="134">
        <f>SUM(D12:D46)</f>
        <v>0</v>
      </c>
      <c r="E47" s="134">
        <f>SUM(E12:E46)</f>
        <v>0</v>
      </c>
      <c r="F47" s="125">
        <f>C47+E47+D47/(Budgetark!G6)</f>
        <v>0</v>
      </c>
      <c r="G47" s="125">
        <f>C43+C44+C45+C46+(D43+D44+D45+D46)/(Budgetark!G6)</f>
        <v>0</v>
      </c>
      <c r="H47" s="135">
        <f>C39+C40+C41+(D39+D40+D41)/(Budgetark!G6)</f>
        <v>0</v>
      </c>
      <c r="I47" s="135">
        <f>C14+C24+C29+C34+C40+C45+C19+(D14+D24+D29+D34+D40+D45+D19)/(Budgetark!G6)</f>
        <v>0</v>
      </c>
      <c r="J47" s="135">
        <f>C12+(D12+D15+D17+D20+D22+D25+D27+D30+D32+D35+D37+D41+D43+D46)/(Budgetark!G6)+C15+C17+C20+C22+C25+C27+C30+C32+C35+C37+C41+C43+C46</f>
        <v>0</v>
      </c>
      <c r="K47" s="125"/>
      <c r="L47" s="125"/>
      <c r="M47" s="11"/>
      <c r="N47" s="128">
        <f>SUM(N12:N46)</f>
        <v>0</v>
      </c>
      <c r="O47" s="128">
        <f>SUM(O12:O46)</f>
        <v>0</v>
      </c>
      <c r="P47" s="128"/>
    </row>
    <row r="48" spans="1:16" x14ac:dyDescent="0.2">
      <c r="A48" s="136"/>
      <c r="B48" s="2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1"/>
      <c r="N48" s="124"/>
    </row>
    <row r="49" spans="1:21" x14ac:dyDescent="0.2">
      <c r="A49" s="39"/>
      <c r="B49" s="2"/>
      <c r="C49" s="125"/>
      <c r="D49" s="125"/>
      <c r="E49" s="125"/>
      <c r="F49" s="125" t="s">
        <v>29</v>
      </c>
      <c r="G49" s="125" t="s">
        <v>30</v>
      </c>
      <c r="H49" s="125"/>
      <c r="I49" s="125"/>
      <c r="J49" s="125"/>
      <c r="K49" s="125"/>
      <c r="L49" s="125"/>
      <c r="M49" s="11"/>
    </row>
    <row r="50" spans="1:21" ht="13.15" x14ac:dyDescent="0.2">
      <c r="A50" s="137" t="s">
        <v>71</v>
      </c>
      <c r="B50" s="138"/>
      <c r="C50" s="139"/>
      <c r="D50" s="139"/>
      <c r="E50" s="80">
        <f>(C47+E47)/7+D47/(E6-C6+1)</f>
        <v>0</v>
      </c>
      <c r="F50" s="140">
        <v>8</v>
      </c>
      <c r="G50" s="109">
        <f>G8*Forudsætninger!B44</f>
        <v>72.775000000000006</v>
      </c>
      <c r="H50" s="141"/>
      <c r="I50" s="110"/>
      <c r="J50" s="125"/>
      <c r="K50" s="142" t="s">
        <v>31</v>
      </c>
      <c r="L50" s="134"/>
      <c r="M50" s="83">
        <f>E50*F50*G50/(Budgetark!G7)</f>
        <v>0</v>
      </c>
      <c r="Q50" s="143"/>
    </row>
    <row r="51" spans="1:21" x14ac:dyDescent="0.2">
      <c r="A51" s="39"/>
      <c r="B51" s="2"/>
      <c r="C51" s="110"/>
      <c r="D51" s="110"/>
      <c r="E51" s="110" t="s">
        <v>32</v>
      </c>
      <c r="F51" s="144" t="s">
        <v>33</v>
      </c>
      <c r="G51" s="110"/>
      <c r="H51" s="110"/>
      <c r="I51" s="110"/>
      <c r="J51" s="110"/>
      <c r="K51" s="110"/>
      <c r="L51" s="110"/>
      <c r="M51" s="145"/>
      <c r="Q51" s="143"/>
    </row>
    <row r="52" spans="1:21" x14ac:dyDescent="0.2">
      <c r="A52" s="137" t="s">
        <v>223</v>
      </c>
      <c r="B52" s="138"/>
      <c r="C52" s="139"/>
      <c r="D52" s="139"/>
      <c r="E52" s="204">
        <f>+ROUNDUP(($F$47*52.1428571428571)/Forudsætninger!$F$86,0)</f>
        <v>0</v>
      </c>
      <c r="F52" s="205">
        <v>0</v>
      </c>
      <c r="G52" s="139">
        <f>+G8</f>
        <v>145.55000000000001</v>
      </c>
      <c r="H52" s="110"/>
      <c r="I52" s="110"/>
      <c r="J52" s="125"/>
      <c r="K52" s="142" t="s">
        <v>31</v>
      </c>
      <c r="L52" s="134"/>
      <c r="M52" s="146">
        <f>+(E52*F52*G52)/(Budgetark!$G$7)</f>
        <v>0</v>
      </c>
      <c r="Q52" s="143"/>
    </row>
    <row r="53" spans="1:21" x14ac:dyDescent="0.2">
      <c r="A53" s="39"/>
      <c r="B53" s="2"/>
      <c r="C53" s="110"/>
      <c r="D53" s="110"/>
      <c r="E53" s="110"/>
      <c r="F53" s="144"/>
      <c r="G53" s="147"/>
      <c r="H53" s="110"/>
      <c r="I53" s="110"/>
      <c r="J53" s="125"/>
      <c r="K53" s="125"/>
      <c r="L53" s="125"/>
      <c r="M53" s="88"/>
    </row>
    <row r="54" spans="1:21" x14ac:dyDescent="0.2">
      <c r="A54" s="137" t="s">
        <v>89</v>
      </c>
      <c r="B54" s="138"/>
      <c r="C54" s="139"/>
      <c r="D54" s="139"/>
      <c r="E54" s="204">
        <f>+ROUNDUP(E52*0.3,0)</f>
        <v>0</v>
      </c>
      <c r="F54" s="205">
        <v>0</v>
      </c>
      <c r="G54" s="139" t="e">
        <f>+SUM(M12:M46)/F47</f>
        <v>#DIV/0!</v>
      </c>
      <c r="H54" s="110"/>
      <c r="I54" s="110"/>
      <c r="J54" s="125"/>
      <c r="K54" s="142" t="s">
        <v>31</v>
      </c>
      <c r="L54" s="134"/>
      <c r="M54" s="146" t="e">
        <f>+E54*F54*G54/(Budgetark!$G$7)</f>
        <v>#DIV/0!</v>
      </c>
      <c r="Q54" s="143"/>
    </row>
    <row r="55" spans="1:21" x14ac:dyDescent="0.2">
      <c r="A55" s="39"/>
      <c r="B55" s="2"/>
      <c r="C55" s="110"/>
      <c r="D55" s="110"/>
      <c r="E55" s="110" t="s">
        <v>1</v>
      </c>
      <c r="F55" s="110" t="s">
        <v>289</v>
      </c>
      <c r="G55" s="147"/>
      <c r="H55" s="110"/>
      <c r="I55" s="110"/>
      <c r="J55" s="125"/>
      <c r="K55" s="125"/>
      <c r="L55" s="125"/>
      <c r="M55" s="88"/>
    </row>
    <row r="56" spans="1:21" x14ac:dyDescent="0.2">
      <c r="A56" s="137" t="s">
        <v>34</v>
      </c>
      <c r="B56" s="138"/>
      <c r="C56" s="139"/>
      <c r="D56" s="139"/>
      <c r="E56" s="204">
        <v>0</v>
      </c>
      <c r="F56" s="109">
        <f>(F47-E47/4)*Budgetark!G6+(E52*F52+E54*F54)*Budgetark!G6/Budgetark!G7</f>
        <v>0</v>
      </c>
      <c r="G56" s="148"/>
      <c r="H56" s="110"/>
      <c r="I56" s="110"/>
      <c r="J56" s="125"/>
      <c r="K56" s="142" t="s">
        <v>31</v>
      </c>
      <c r="L56" s="134"/>
      <c r="M56" s="88">
        <f>(E56*F56)/(Budgetark!$G$6)</f>
        <v>0</v>
      </c>
      <c r="Q56" s="143"/>
    </row>
    <row r="57" spans="1:21" x14ac:dyDescent="0.2">
      <c r="A57" s="39"/>
      <c r="B57" s="2"/>
      <c r="C57" s="110"/>
      <c r="D57" s="110"/>
      <c r="E57" s="110" t="s">
        <v>36</v>
      </c>
      <c r="F57" s="144"/>
      <c r="G57" s="110"/>
      <c r="H57" s="110"/>
      <c r="I57" s="110"/>
      <c r="J57" s="110"/>
      <c r="K57" s="110"/>
      <c r="L57" s="110"/>
      <c r="M57" s="149"/>
    </row>
    <row r="58" spans="1:21" x14ac:dyDescent="0.2">
      <c r="A58" s="137" t="s">
        <v>35</v>
      </c>
      <c r="B58" s="138"/>
      <c r="C58" s="139"/>
      <c r="D58" s="139"/>
      <c r="E58" s="150" t="e">
        <f>SUM(M12:M52)+((M62+M63+M64)/3)+M56+M54</f>
        <v>#DIV/0!</v>
      </c>
      <c r="F58" s="148">
        <f>+Forudsætninger!B48</f>
        <v>0.125</v>
      </c>
      <c r="G58" s="148"/>
      <c r="H58" s="110"/>
      <c r="I58" s="110"/>
      <c r="J58" s="125"/>
      <c r="K58" s="142" t="s">
        <v>31</v>
      </c>
      <c r="L58" s="134"/>
      <c r="M58" s="88" t="e">
        <f>E58*F58</f>
        <v>#DIV/0!</v>
      </c>
      <c r="P58" s="124"/>
      <c r="Q58" s="143"/>
    </row>
    <row r="59" spans="1:21" x14ac:dyDescent="0.2">
      <c r="A59" s="39"/>
      <c r="B59" s="2"/>
      <c r="C59" s="110"/>
      <c r="D59" s="110"/>
      <c r="E59" s="110" t="s">
        <v>36</v>
      </c>
      <c r="G59" s="147"/>
      <c r="H59" s="110"/>
      <c r="I59" s="110"/>
      <c r="J59" s="125"/>
      <c r="K59" s="125"/>
      <c r="L59" s="125"/>
      <c r="M59" s="88"/>
    </row>
    <row r="60" spans="1:21" x14ac:dyDescent="0.2">
      <c r="A60" s="137" t="s">
        <v>225</v>
      </c>
      <c r="B60" s="138"/>
      <c r="C60" s="139"/>
      <c r="D60" s="206" t="s">
        <v>286</v>
      </c>
      <c r="E60" s="150" t="e">
        <f>E58</f>
        <v>#DIV/0!</v>
      </c>
      <c r="F60" s="148">
        <f>+IF(D60="Ja",Forudsætninger!B49,0)</f>
        <v>0</v>
      </c>
      <c r="G60" s="148"/>
      <c r="H60" s="110"/>
      <c r="I60" s="110"/>
      <c r="J60" s="125"/>
      <c r="K60" s="142" t="s">
        <v>31</v>
      </c>
      <c r="L60" s="134"/>
      <c r="M60" s="88" t="e">
        <f>E60*F60</f>
        <v>#DIV/0!</v>
      </c>
      <c r="P60" s="151"/>
      <c r="Q60" s="143"/>
      <c r="R60" s="124"/>
      <c r="S60" s="124"/>
    </row>
    <row r="61" spans="1:21" x14ac:dyDescent="0.2">
      <c r="A61" s="39"/>
      <c r="B61" s="2"/>
      <c r="C61" s="110"/>
      <c r="D61" s="110"/>
      <c r="E61" s="110" t="s">
        <v>36</v>
      </c>
      <c r="F61" s="144" t="s">
        <v>38</v>
      </c>
      <c r="G61" s="110"/>
      <c r="H61" s="110"/>
      <c r="I61" s="110"/>
      <c r="J61" s="125"/>
      <c r="K61" s="125"/>
      <c r="L61" s="125"/>
      <c r="M61" s="88"/>
    </row>
    <row r="62" spans="1:21" x14ac:dyDescent="0.2">
      <c r="A62" s="137" t="s">
        <v>39</v>
      </c>
      <c r="B62" s="138"/>
      <c r="C62" s="139"/>
      <c r="D62" s="139"/>
      <c r="E62" s="152">
        <f>(F56/Budgetark!G6)*G8</f>
        <v>0</v>
      </c>
      <c r="F62" s="148">
        <f>+Forudsætninger!B52</f>
        <v>0.13</v>
      </c>
      <c r="G62" s="109"/>
      <c r="H62" s="110"/>
      <c r="I62" s="110"/>
      <c r="J62" s="125"/>
      <c r="K62" s="142" t="s">
        <v>31</v>
      </c>
      <c r="L62" s="134"/>
      <c r="M62" s="146">
        <f>E62*F62</f>
        <v>0</v>
      </c>
      <c r="Q62" s="143"/>
      <c r="S62" s="124"/>
    </row>
    <row r="63" spans="1:21" x14ac:dyDescent="0.2">
      <c r="A63" s="137" t="s">
        <v>40</v>
      </c>
      <c r="B63" s="138"/>
      <c r="C63" s="139"/>
      <c r="D63" s="139"/>
      <c r="E63" s="152">
        <f>I47*K8+J47*L8</f>
        <v>0</v>
      </c>
      <c r="F63" s="148">
        <f>+Forudsætninger!B53</f>
        <v>7.8200000000000006E-2</v>
      </c>
      <c r="G63" s="109"/>
      <c r="H63" s="110"/>
      <c r="I63" s="110"/>
      <c r="J63" s="125"/>
      <c r="K63" s="142" t="s">
        <v>31</v>
      </c>
      <c r="L63" s="134"/>
      <c r="M63" s="146">
        <f>E63*F63</f>
        <v>0</v>
      </c>
      <c r="N63" s="153"/>
      <c r="P63" s="153"/>
      <c r="Q63" s="143"/>
      <c r="U63" s="153"/>
    </row>
    <row r="64" spans="1:21" x14ac:dyDescent="0.2">
      <c r="A64" s="137" t="s">
        <v>96</v>
      </c>
      <c r="B64" s="138"/>
      <c r="C64" s="139"/>
      <c r="D64" s="139"/>
      <c r="E64" s="152">
        <f>G47*I8+H47*J8+M50</f>
        <v>0</v>
      </c>
      <c r="F64" s="148">
        <f>+Forudsætninger!B54</f>
        <v>7.2300000000000003E-2</v>
      </c>
      <c r="G64" s="109"/>
      <c r="H64" s="110"/>
      <c r="I64" s="110"/>
      <c r="J64" s="125"/>
      <c r="K64" s="142" t="s">
        <v>31</v>
      </c>
      <c r="L64" s="134"/>
      <c r="M64" s="146">
        <f>E64*F64</f>
        <v>0</v>
      </c>
      <c r="N64" s="153"/>
      <c r="P64" s="153"/>
      <c r="U64" s="153"/>
    </row>
    <row r="65" spans="1:20" x14ac:dyDescent="0.2">
      <c r="A65" s="154"/>
      <c r="B65" s="133"/>
      <c r="C65" s="155"/>
      <c r="D65" s="155"/>
      <c r="E65" s="110" t="s">
        <v>2</v>
      </c>
      <c r="F65" s="110" t="s">
        <v>80</v>
      </c>
      <c r="G65" s="125" t="s">
        <v>46</v>
      </c>
      <c r="K65" s="125"/>
      <c r="L65" s="125"/>
      <c r="M65" s="156"/>
      <c r="R65" s="153"/>
      <c r="S65" s="153"/>
      <c r="T65" s="153"/>
    </row>
    <row r="66" spans="1:20" x14ac:dyDescent="0.2">
      <c r="A66" s="137" t="s">
        <v>203</v>
      </c>
      <c r="B66" s="157"/>
      <c r="C66" s="158"/>
      <c r="D66" s="158"/>
      <c r="E66" s="159">
        <f>(F47*Budgetark!G7+$E$52*$F$52+$E$54*$F$54)/Forudsætninger!$F$86*Forudsætninger!$F$81/(Budgetark!G7)</f>
        <v>0</v>
      </c>
      <c r="F66" s="159">
        <f>(F47*Budgetark!G7+$E$52*$F$52+$E$54*$F$54)/Forudsætninger!$F$86*(Forudsætninger!$F$83+Forudsætninger!$F$84)/(Budgetark!G7)</f>
        <v>0</v>
      </c>
      <c r="G66" s="160">
        <f>(F47*Budgetark!G7+$E$52*$F$52+$E$54*$F$54)/Forudsætninger!$F$86*Forudsætninger!$F$82/(Budgetark!G7)</f>
        <v>0</v>
      </c>
      <c r="K66" s="142" t="s">
        <v>31</v>
      </c>
      <c r="L66" s="134"/>
      <c r="M66" s="83">
        <f>E66+F66+G66</f>
        <v>0</v>
      </c>
      <c r="Q66" s="143"/>
      <c r="R66" s="161"/>
    </row>
    <row r="67" spans="1:20" x14ac:dyDescent="0.2">
      <c r="A67" s="136"/>
      <c r="B67" s="2"/>
      <c r="C67" s="110"/>
      <c r="D67" s="110"/>
      <c r="E67" s="110" t="s">
        <v>156</v>
      </c>
      <c r="F67" s="110" t="s">
        <v>267</v>
      </c>
      <c r="G67" s="147"/>
      <c r="H67" s="162"/>
      <c r="I67" s="162"/>
      <c r="J67" s="162"/>
      <c r="K67" s="125"/>
      <c r="L67" s="125"/>
      <c r="M67" s="88"/>
      <c r="Q67" s="143"/>
      <c r="R67" s="161"/>
    </row>
    <row r="68" spans="1:20" x14ac:dyDescent="0.2">
      <c r="A68" s="163" t="s">
        <v>271</v>
      </c>
      <c r="B68" s="138"/>
      <c r="C68" s="139"/>
      <c r="D68" s="109"/>
      <c r="E68" s="80">
        <f>Forudsætninger!D100</f>
        <v>22</v>
      </c>
      <c r="F68" s="204">
        <f>+ROUNDUP(($F$47*52.1428571428571)/Forudsætninger!$F$86,0)</f>
        <v>0</v>
      </c>
      <c r="G68" s="148"/>
      <c r="H68" s="162"/>
      <c r="I68" s="162"/>
      <c r="J68" s="162"/>
      <c r="K68" s="142" t="s">
        <v>31</v>
      </c>
      <c r="L68" s="134"/>
      <c r="M68" s="83">
        <f>E68*F68/Budgetark!G7</f>
        <v>0</v>
      </c>
      <c r="Q68" s="143"/>
      <c r="R68" s="161"/>
    </row>
    <row r="69" spans="1:20" x14ac:dyDescent="0.2">
      <c r="A69" s="39"/>
      <c r="B69" s="2"/>
      <c r="C69" s="110"/>
      <c r="D69" s="110"/>
      <c r="E69" s="110"/>
      <c r="F69" s="144"/>
      <c r="G69" s="110" t="s">
        <v>82</v>
      </c>
      <c r="H69" s="110"/>
      <c r="I69" s="110"/>
      <c r="J69" s="110"/>
      <c r="K69" s="110"/>
      <c r="L69" s="110"/>
      <c r="M69" s="11"/>
      <c r="R69" s="124"/>
      <c r="S69" s="124"/>
    </row>
    <row r="70" spans="1:20" x14ac:dyDescent="0.2">
      <c r="A70" s="163" t="s">
        <v>42</v>
      </c>
      <c r="B70" s="138"/>
      <c r="C70" s="139"/>
      <c r="D70" s="139"/>
      <c r="E70" s="80"/>
      <c r="F70" s="109"/>
      <c r="G70" s="139">
        <f>+Forudsætninger!B58</f>
        <v>0.47</v>
      </c>
      <c r="H70" s="110"/>
      <c r="I70" s="110"/>
      <c r="J70" s="110"/>
      <c r="K70" s="142" t="s">
        <v>31</v>
      </c>
      <c r="L70" s="134"/>
      <c r="M70" s="83">
        <f>(F47+($E$52*$F$52+$E$54*$F$54)/Budgetark!G7)*G70</f>
        <v>0</v>
      </c>
    </row>
    <row r="71" spans="1:20" ht="22.55" customHeight="1" x14ac:dyDescent="0.2">
      <c r="A71" s="39"/>
      <c r="B71" s="2"/>
      <c r="C71" s="110"/>
      <c r="D71" s="110"/>
      <c r="E71" s="125" t="s">
        <v>156</v>
      </c>
      <c r="F71" s="164" t="s">
        <v>158</v>
      </c>
      <c r="G71" s="165" t="s">
        <v>157</v>
      </c>
      <c r="H71" s="110"/>
      <c r="I71" s="110"/>
      <c r="J71" s="110"/>
      <c r="K71" s="110"/>
      <c r="L71" s="110"/>
      <c r="M71" s="11"/>
    </row>
    <row r="72" spans="1:20" x14ac:dyDescent="0.2">
      <c r="A72" s="163" t="s">
        <v>293</v>
      </c>
      <c r="B72" s="166"/>
      <c r="C72" s="167"/>
      <c r="D72" s="139"/>
      <c r="E72" s="80">
        <f>Forudsætninger!D65*G8</f>
        <v>72.775000000000006</v>
      </c>
      <c r="F72" s="204">
        <v>0</v>
      </c>
      <c r="G72" s="207">
        <v>0</v>
      </c>
      <c r="H72" s="168"/>
      <c r="I72" s="168"/>
      <c r="J72" s="168"/>
      <c r="K72" s="142" t="s">
        <v>31</v>
      </c>
      <c r="L72" s="169"/>
      <c r="M72" s="83">
        <f>+E72*F72*G72/(Budgetark!G6)</f>
        <v>0</v>
      </c>
    </row>
    <row r="73" spans="1:20" x14ac:dyDescent="0.2">
      <c r="A73" s="39"/>
      <c r="B73" s="2"/>
      <c r="C73" s="110"/>
      <c r="D73" s="110"/>
      <c r="E73" s="125" t="s">
        <v>156</v>
      </c>
      <c r="F73" s="144"/>
      <c r="G73" s="165"/>
      <c r="H73" s="110"/>
      <c r="I73" s="110"/>
      <c r="J73" s="110"/>
      <c r="K73" s="110"/>
      <c r="L73" s="110"/>
      <c r="M73" s="11"/>
    </row>
    <row r="74" spans="1:20" x14ac:dyDescent="0.2">
      <c r="A74" s="163" t="s">
        <v>294</v>
      </c>
      <c r="B74" s="166"/>
      <c r="C74" s="167"/>
      <c r="D74" s="139"/>
      <c r="E74" s="80">
        <f>+Forudsætninger!D69</f>
        <v>400</v>
      </c>
      <c r="F74" s="109"/>
      <c r="G74" s="207">
        <v>0</v>
      </c>
      <c r="H74" s="168"/>
      <c r="I74" s="168"/>
      <c r="J74" s="168"/>
      <c r="K74" s="142" t="s">
        <v>31</v>
      </c>
      <c r="L74" s="169"/>
      <c r="M74" s="83">
        <f>+E74*G74/(Budgetark!G6)</f>
        <v>0</v>
      </c>
    </row>
    <row r="75" spans="1:20" ht="21.3" x14ac:dyDescent="0.2">
      <c r="A75" s="39"/>
      <c r="B75" s="2"/>
      <c r="C75" s="110"/>
      <c r="D75" s="110"/>
      <c r="E75" s="125" t="s">
        <v>156</v>
      </c>
      <c r="F75" s="144" t="s">
        <v>224</v>
      </c>
      <c r="G75" s="165" t="s">
        <v>160</v>
      </c>
      <c r="H75" s="110"/>
      <c r="I75" s="110"/>
      <c r="J75" s="110"/>
      <c r="K75" s="110"/>
      <c r="L75" s="110"/>
      <c r="M75" s="11"/>
    </row>
    <row r="76" spans="1:20" x14ac:dyDescent="0.2">
      <c r="A76" s="163" t="s">
        <v>295</v>
      </c>
      <c r="B76" s="166"/>
      <c r="C76" s="167"/>
      <c r="D76" s="139"/>
      <c r="E76" s="80">
        <f>+G8*Forudsætninger!D73</f>
        <v>72.775000000000006</v>
      </c>
      <c r="F76" s="204">
        <v>0</v>
      </c>
      <c r="G76" s="207">
        <v>0</v>
      </c>
      <c r="H76" s="168"/>
      <c r="I76" s="168"/>
      <c r="J76" s="168"/>
      <c r="K76" s="142" t="s">
        <v>31</v>
      </c>
      <c r="L76" s="169"/>
      <c r="M76" s="83">
        <f>+E76*F76*G76/(Budgetark!G6)</f>
        <v>0</v>
      </c>
    </row>
    <row r="77" spans="1:20" ht="24.75" customHeight="1" x14ac:dyDescent="0.2">
      <c r="A77" s="39"/>
      <c r="B77" s="2"/>
      <c r="C77" s="110"/>
      <c r="D77" s="110"/>
      <c r="E77" s="125" t="s">
        <v>178</v>
      </c>
      <c r="F77" s="164" t="s">
        <v>177</v>
      </c>
      <c r="G77" s="110"/>
      <c r="H77" s="110"/>
      <c r="I77" s="110"/>
      <c r="J77" s="110"/>
      <c r="K77" s="110"/>
      <c r="L77" s="110"/>
      <c r="M77" s="11"/>
    </row>
    <row r="78" spans="1:20" x14ac:dyDescent="0.2">
      <c r="A78" s="163" t="s">
        <v>114</v>
      </c>
      <c r="B78" s="166"/>
      <c r="C78" s="167"/>
      <c r="D78" s="139"/>
      <c r="E78" s="80">
        <f>+Forudsætninger!F85</f>
        <v>295</v>
      </c>
      <c r="F78" s="170">
        <f>(F47*Budgetark!G7+$E$52*$F$52+$E$54*$F$54)/Forudsætninger!F86</f>
        <v>0</v>
      </c>
      <c r="G78" s="170"/>
      <c r="H78" s="168"/>
      <c r="J78" s="168"/>
      <c r="K78" s="142" t="s">
        <v>31</v>
      </c>
      <c r="L78" s="169"/>
      <c r="M78" s="83">
        <f>+E78*F78/(Budgetark!G7)</f>
        <v>0</v>
      </c>
    </row>
    <row r="79" spans="1:20" ht="13.15" thickBot="1" x14ac:dyDescent="0.25">
      <c r="A79" s="39"/>
      <c r="B79" s="2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1"/>
      <c r="R79" s="111"/>
    </row>
    <row r="80" spans="1:20" ht="13.15" thickBot="1" x14ac:dyDescent="0.25">
      <c r="A80" s="171" t="s">
        <v>43</v>
      </c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3" t="e">
        <f>SUM(M12:M79)</f>
        <v>#DIV/0!</v>
      </c>
    </row>
    <row r="81" spans="1:1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6" x14ac:dyDescent="0.2">
      <c r="A82" s="2" t="s">
        <v>44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174" t="e">
        <f>M80*(Budgetark!G6)</f>
        <v>#DIV/0!</v>
      </c>
      <c r="N82" s="128"/>
    </row>
    <row r="83" spans="1:16" x14ac:dyDescent="0.2">
      <c r="A83" s="175" t="s">
        <v>45</v>
      </c>
      <c r="B83" s="175"/>
      <c r="C83" s="366" t="s">
        <v>438</v>
      </c>
      <c r="D83" s="367"/>
      <c r="E83" s="208"/>
      <c r="F83" s="175"/>
      <c r="G83" s="175"/>
      <c r="H83" s="175"/>
      <c r="I83" s="175"/>
      <c r="J83" s="175"/>
      <c r="K83" s="175"/>
      <c r="L83" s="175"/>
      <c r="M83" s="176" t="e">
        <f>M82*(1+IF(E83&gt;0,E83,IF(AND(F8=11,Forudsætninger!F93*100&gt;VLOOKUP(YEAR(C6),Tabel1[],2,FALSE)),Forudsætninger!F93,(VLOOKUP(YEAR(C6),Tabel1[],2,FALSE))/100)))</f>
        <v>#DIV/0!</v>
      </c>
      <c r="N83" s="128"/>
      <c r="P83" s="293"/>
    </row>
    <row r="84" spans="1:16" x14ac:dyDescent="0.2">
      <c r="A84" s="2" t="s">
        <v>62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177" t="e">
        <f>M82/(Budgetark!$G$6/(Budgetark!$G$7/12))</f>
        <v>#DIV/0!</v>
      </c>
    </row>
    <row r="85" spans="1:16" x14ac:dyDescent="0.2">
      <c r="A85" s="175" t="s">
        <v>63</v>
      </c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6" t="e">
        <f>M83/(Budgetark!$G$6/(Budgetark!$G$7/12))</f>
        <v>#DIV/0!</v>
      </c>
    </row>
    <row r="86" spans="1:16" x14ac:dyDescent="0.2">
      <c r="A86" s="2" t="s">
        <v>226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178" t="e">
        <f>(M82)/(Budgetark!$G$16-Budgetark!$G$15)</f>
        <v>#DIV/0!</v>
      </c>
    </row>
    <row r="87" spans="1:16" x14ac:dyDescent="0.2">
      <c r="A87" s="175" t="s">
        <v>227</v>
      </c>
      <c r="B87" s="179"/>
      <c r="C87" s="179"/>
      <c r="D87" s="179"/>
      <c r="E87" s="179"/>
      <c r="F87" s="179"/>
      <c r="G87" s="179"/>
      <c r="H87" s="180"/>
      <c r="I87" s="179"/>
      <c r="J87" s="179"/>
      <c r="K87" s="179"/>
      <c r="L87" s="179"/>
      <c r="M87" s="304" t="e">
        <f>(M83)/(Budgetark!$G$16-Budgetark!$G$15)</f>
        <v>#DIV/0!</v>
      </c>
    </row>
    <row r="88" spans="1:1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181"/>
      <c r="N88" s="128"/>
    </row>
    <row r="89" spans="1:16" x14ac:dyDescent="0.2">
      <c r="A89" s="2" t="s">
        <v>266</v>
      </c>
      <c r="B89" s="2"/>
      <c r="C89" s="2"/>
      <c r="D89" s="2"/>
      <c r="E89" s="182">
        <f>Administration!D9</f>
        <v>0</v>
      </c>
      <c r="F89" s="2"/>
      <c r="G89" s="2"/>
      <c r="H89" s="2"/>
      <c r="I89" s="2"/>
      <c r="J89" s="2"/>
      <c r="K89" s="2"/>
      <c r="L89" s="2"/>
      <c r="M89" s="181" t="e">
        <f>+M83*E89</f>
        <v>#DIV/0!</v>
      </c>
      <c r="N89" s="128"/>
    </row>
    <row r="90" spans="1:16" x14ac:dyDescent="0.2">
      <c r="A90" s="175" t="s">
        <v>147</v>
      </c>
      <c r="B90" s="179"/>
      <c r="C90" s="179"/>
      <c r="D90" s="179"/>
      <c r="E90" s="179"/>
      <c r="F90" s="179"/>
      <c r="G90" s="179"/>
      <c r="H90" s="179"/>
      <c r="I90" s="180"/>
      <c r="J90" s="179"/>
      <c r="K90" s="179"/>
      <c r="L90" s="179"/>
      <c r="M90" s="183" t="e">
        <f>M89/(Budgetark!$G$6*7/(Budgetark!$G$7*7/12))</f>
        <v>#DIV/0!</v>
      </c>
    </row>
    <row r="91" spans="1:16" x14ac:dyDescent="0.2">
      <c r="H91" s="128"/>
      <c r="M91" s="184"/>
    </row>
    <row r="92" spans="1:16" ht="21.3" x14ac:dyDescent="0.2">
      <c r="A92" s="3" t="s">
        <v>81</v>
      </c>
      <c r="D92" s="24" t="s">
        <v>422</v>
      </c>
      <c r="E92" s="110" t="s">
        <v>91</v>
      </c>
      <c r="F92" s="24"/>
      <c r="G92" s="110" t="s">
        <v>82</v>
      </c>
      <c r="M92" s="110" t="s">
        <v>94</v>
      </c>
    </row>
    <row r="93" spans="1:16" x14ac:dyDescent="0.2">
      <c r="A93" s="137" t="s">
        <v>108</v>
      </c>
      <c r="B93" s="138"/>
      <c r="C93" s="139"/>
      <c r="D93" s="204" t="s">
        <v>424</v>
      </c>
      <c r="E93" s="80">
        <f>F47*Budgetark!G6+($E$52*$F$52+$E$54*$F$54+$E$97*$F$97)*Budgetark!G6/Budgetark!G7</f>
        <v>0</v>
      </c>
      <c r="F93" s="170"/>
      <c r="G93" s="170">
        <f>+Forudsætninger!E97</f>
        <v>0.82905982905982911</v>
      </c>
      <c r="H93" s="110"/>
      <c r="J93" s="125"/>
      <c r="K93" s="142" t="s">
        <v>84</v>
      </c>
      <c r="L93" s="134"/>
      <c r="M93" s="83">
        <f>IF(D93="Nej",0,E93*G93)</f>
        <v>0</v>
      </c>
    </row>
    <row r="94" spans="1:16" x14ac:dyDescent="0.2">
      <c r="A94" s="39"/>
      <c r="B94" s="2"/>
      <c r="C94" s="110"/>
      <c r="D94" s="110"/>
      <c r="E94" s="110" t="s">
        <v>91</v>
      </c>
      <c r="F94" s="144"/>
      <c r="G94" s="110" t="str">
        <f>+IF(Forudsætninger!$D$111=0,"kr/time","kr/år")</f>
        <v>kr/time</v>
      </c>
      <c r="H94" s="110"/>
      <c r="I94" s="110"/>
      <c r="J94" s="110"/>
      <c r="K94" s="110"/>
      <c r="L94" s="110"/>
      <c r="M94" s="11"/>
    </row>
    <row r="95" spans="1:16" x14ac:dyDescent="0.2">
      <c r="A95" s="163" t="s">
        <v>83</v>
      </c>
      <c r="B95" s="166"/>
      <c r="C95" s="167"/>
      <c r="D95" s="204" t="s">
        <v>424</v>
      </c>
      <c r="E95" s="80">
        <f>IF(Forudsætninger!E111=0,1,E93)</f>
        <v>1</v>
      </c>
      <c r="F95" s="170"/>
      <c r="G95" s="215">
        <f>+IF(Forudsætninger!D111=0,Forudsætninger!E111,Forudsætninger!D111)</f>
        <v>0</v>
      </c>
      <c r="H95" s="168"/>
      <c r="I95" s="168"/>
      <c r="J95" s="168"/>
      <c r="K95" s="142" t="s">
        <v>84</v>
      </c>
      <c r="L95" s="169"/>
      <c r="M95" s="83">
        <f>IF(D95="Nej",0,E95*G95)</f>
        <v>0</v>
      </c>
    </row>
    <row r="96" spans="1:16" x14ac:dyDescent="0.2">
      <c r="A96" s="39"/>
      <c r="B96" s="2"/>
      <c r="C96" s="110"/>
      <c r="D96" s="110"/>
      <c r="E96" s="110" t="s">
        <v>32</v>
      </c>
      <c r="F96" s="144" t="s">
        <v>33</v>
      </c>
      <c r="G96" s="110"/>
      <c r="H96" s="110"/>
      <c r="I96" s="110"/>
      <c r="J96" s="110"/>
      <c r="K96" s="110"/>
      <c r="L96" s="110"/>
      <c r="M96" s="11"/>
    </row>
    <row r="97" spans="1:13" x14ac:dyDescent="0.2">
      <c r="A97" s="163" t="s">
        <v>228</v>
      </c>
      <c r="B97" s="166"/>
      <c r="C97" s="167"/>
      <c r="D97" s="139"/>
      <c r="E97" s="80">
        <f>+E52</f>
        <v>0</v>
      </c>
      <c r="F97" s="204">
        <v>0</v>
      </c>
      <c r="G97" s="170">
        <f>+G8*(1+Forudsætninger!B48)+G8*Forudsætninger!B52+Forudsætninger!G59+G70+SUM(Forudsætninger!F81:F84)/Forudsætninger!F86</f>
        <v>187.30405341880342</v>
      </c>
      <c r="H97" s="168"/>
      <c r="I97" s="162"/>
      <c r="J97" s="168"/>
      <c r="K97" s="142" t="s">
        <v>84</v>
      </c>
      <c r="L97" s="169"/>
      <c r="M97" s="83">
        <f>+E97*F97*G97</f>
        <v>0</v>
      </c>
    </row>
    <row r="98" spans="1:13" x14ac:dyDescent="0.2">
      <c r="A98" s="39"/>
      <c r="B98" s="2"/>
      <c r="C98" s="110"/>
      <c r="D98" s="110"/>
      <c r="E98" s="125" t="s">
        <v>301</v>
      </c>
      <c r="G98" s="164" t="s">
        <v>32</v>
      </c>
      <c r="H98" s="110"/>
      <c r="I98" s="110"/>
      <c r="J98" s="110"/>
      <c r="K98" s="110"/>
      <c r="L98" s="110"/>
      <c r="M98" s="11"/>
    </row>
    <row r="99" spans="1:13" ht="22.55" customHeight="1" x14ac:dyDescent="0.2">
      <c r="A99" s="358" t="s">
        <v>303</v>
      </c>
      <c r="B99" s="359"/>
      <c r="C99" s="360"/>
      <c r="D99" s="268" t="s">
        <v>286</v>
      </c>
      <c r="E99" s="80">
        <f>+VLOOKUP(YEAR(C6),Tabel1[],3)</f>
        <v>2316.2399999999998</v>
      </c>
      <c r="F99" s="268" t="s">
        <v>286</v>
      </c>
      <c r="G99" s="109">
        <f>IF(F99="Årlige ansatte",Administration!F27,IF(F99="Faktiske ansatte",E52,))</f>
        <v>0</v>
      </c>
      <c r="H99" s="168"/>
      <c r="I99" s="168"/>
      <c r="J99" s="168"/>
      <c r="K99" s="142" t="s">
        <v>84</v>
      </c>
      <c r="L99" s="169"/>
      <c r="M99" s="83">
        <f>IF(D99="Overhead",+E99*G99*Budgetark!G6/Budgetark!G7,0)</f>
        <v>0</v>
      </c>
    </row>
    <row r="100" spans="1:13" ht="13.15" thickBot="1" x14ac:dyDescent="0.25">
      <c r="A100" s="39"/>
      <c r="B100" s="2"/>
      <c r="C100" s="110"/>
      <c r="D100" s="110"/>
      <c r="E100" s="110"/>
      <c r="F100" s="144"/>
      <c r="G100" s="110"/>
      <c r="H100" s="110"/>
      <c r="I100" s="110"/>
      <c r="J100" s="110"/>
      <c r="K100" s="110"/>
      <c r="L100" s="110"/>
      <c r="M100" s="11"/>
    </row>
    <row r="101" spans="1:13" ht="13.15" thickBot="1" x14ac:dyDescent="0.25">
      <c r="A101" s="171" t="s">
        <v>149</v>
      </c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3">
        <f>+SUM(M93:M99)</f>
        <v>0</v>
      </c>
    </row>
    <row r="102" spans="1:13" x14ac:dyDescent="0.2">
      <c r="A102" s="39"/>
      <c r="B102" s="2"/>
      <c r="C102" s="110"/>
      <c r="D102" s="110"/>
      <c r="E102" s="110"/>
      <c r="F102" s="144"/>
      <c r="G102" s="110"/>
      <c r="H102" s="110"/>
      <c r="I102" s="110"/>
      <c r="J102" s="110"/>
      <c r="K102" s="110"/>
      <c r="L102" s="110"/>
      <c r="M102" s="2"/>
    </row>
    <row r="103" spans="1:13" x14ac:dyDescent="0.2">
      <c r="A103" s="2" t="s">
        <v>150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186" t="e">
        <f>+(M83+M101-M99)/(Budgetark!G6*7/(Budgetark!G7*7/12))</f>
        <v>#DIV/0!</v>
      </c>
    </row>
    <row r="104" spans="1:13" s="103" customFormat="1" x14ac:dyDescent="0.2">
      <c r="A104" s="187" t="s">
        <v>151</v>
      </c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8" t="e">
        <f>+M90+M99/(Budgetark!$G$6/(Budgetark!$G$7/12))</f>
        <v>#DIV/0!</v>
      </c>
    </row>
    <row r="105" spans="1:13" x14ac:dyDescent="0.2">
      <c r="A105" s="39"/>
      <c r="B105" s="2"/>
      <c r="C105" s="110"/>
      <c r="D105" s="110"/>
      <c r="E105" s="110"/>
      <c r="F105" s="144"/>
      <c r="G105" s="110"/>
      <c r="H105" s="110"/>
      <c r="I105" s="110"/>
      <c r="J105" s="110"/>
      <c r="K105" s="110"/>
      <c r="L105" s="110"/>
      <c r="M105" s="2"/>
    </row>
    <row r="106" spans="1:13" x14ac:dyDescent="0.2">
      <c r="A106" s="3" t="s">
        <v>81</v>
      </c>
      <c r="G106" s="110"/>
    </row>
    <row r="107" spans="1:13" x14ac:dyDescent="0.2">
      <c r="A107" s="39"/>
      <c r="B107" s="2"/>
      <c r="C107" s="110"/>
      <c r="D107" s="110"/>
      <c r="E107" s="110" t="s">
        <v>93</v>
      </c>
      <c r="F107" s="144"/>
      <c r="G107" s="110"/>
      <c r="H107" s="110"/>
      <c r="I107" s="110"/>
      <c r="J107" s="110"/>
      <c r="K107" s="110"/>
      <c r="L107" s="110"/>
      <c r="M107" s="2"/>
    </row>
    <row r="108" spans="1:13" x14ac:dyDescent="0.2">
      <c r="A108" s="163" t="s">
        <v>92</v>
      </c>
      <c r="B108" s="166"/>
      <c r="C108" s="167"/>
      <c r="D108" s="167"/>
      <c r="E108" s="208">
        <v>0</v>
      </c>
      <c r="F108" s="185"/>
      <c r="G108" s="170"/>
      <c r="H108" s="168"/>
      <c r="I108" s="168"/>
      <c r="J108" s="168"/>
      <c r="K108" s="142" t="s">
        <v>84</v>
      </c>
      <c r="L108" s="169"/>
      <c r="M108" s="83" t="e">
        <f>+M83*E108</f>
        <v>#DIV/0!</v>
      </c>
    </row>
    <row r="109" spans="1:13" x14ac:dyDescent="0.2">
      <c r="A109" s="39"/>
      <c r="B109" s="2"/>
      <c r="C109" s="110"/>
      <c r="D109" s="110"/>
      <c r="E109" s="110" t="s">
        <v>230</v>
      </c>
      <c r="F109" s="144"/>
      <c r="G109" s="110"/>
      <c r="H109" s="110"/>
      <c r="I109" s="110"/>
      <c r="J109" s="110"/>
      <c r="K109" s="110"/>
      <c r="L109" s="110"/>
      <c r="M109" s="11"/>
    </row>
    <row r="110" spans="1:13" x14ac:dyDescent="0.2">
      <c r="A110" s="163" t="s">
        <v>97</v>
      </c>
      <c r="B110" s="166"/>
      <c r="C110" s="167"/>
      <c r="D110" s="167"/>
      <c r="E110" s="208">
        <v>0</v>
      </c>
      <c r="F110" s="185"/>
      <c r="G110" s="170"/>
      <c r="H110" s="168"/>
      <c r="I110" s="168"/>
      <c r="J110" s="168"/>
      <c r="K110" s="142" t="s">
        <v>84</v>
      </c>
      <c r="L110" s="169"/>
      <c r="M110" s="83" t="e">
        <f>+M83*E110</f>
        <v>#DIV/0!</v>
      </c>
    </row>
    <row r="111" spans="1:13" x14ac:dyDescent="0.2">
      <c r="A111" s="39"/>
      <c r="B111" s="2"/>
      <c r="C111" s="110"/>
      <c r="D111" s="144" t="s">
        <v>281</v>
      </c>
      <c r="E111" s="125" t="s">
        <v>426</v>
      </c>
      <c r="G111" s="110"/>
      <c r="H111" s="110"/>
      <c r="I111" s="110"/>
      <c r="J111" s="110"/>
      <c r="K111" s="110"/>
      <c r="L111" s="110"/>
      <c r="M111" s="11"/>
    </row>
    <row r="112" spans="1:13" x14ac:dyDescent="0.2">
      <c r="A112" s="163" t="s">
        <v>231</v>
      </c>
      <c r="B112" s="166"/>
      <c r="C112" s="167"/>
      <c r="D112" s="204" t="s">
        <v>286</v>
      </c>
      <c r="E112" s="189">
        <f>Forudsætninger!D106</f>
        <v>0</v>
      </c>
      <c r="F112" s="170"/>
      <c r="G112" s="170"/>
      <c r="H112" s="168"/>
      <c r="I112" s="168"/>
      <c r="J112" s="168"/>
      <c r="K112" s="142" t="s">
        <v>84</v>
      </c>
      <c r="L112" s="169"/>
      <c r="M112" s="83">
        <f>+IF(D112="Ja",E112,0)</f>
        <v>0</v>
      </c>
    </row>
    <row r="113" spans="1:13" x14ac:dyDescent="0.2">
      <c r="A113" s="39"/>
      <c r="B113" s="2"/>
      <c r="C113" s="110"/>
      <c r="D113" s="110"/>
      <c r="E113" s="144" t="s">
        <v>184</v>
      </c>
      <c r="F113" s="144" t="s">
        <v>121</v>
      </c>
      <c r="G113" s="110"/>
      <c r="H113" s="110"/>
      <c r="I113" s="110"/>
      <c r="J113" s="110"/>
      <c r="K113" s="110"/>
      <c r="L113" s="110"/>
      <c r="M113" s="11"/>
    </row>
    <row r="114" spans="1:13" x14ac:dyDescent="0.2">
      <c r="A114" s="163" t="s">
        <v>122</v>
      </c>
      <c r="B114" s="166"/>
      <c r="C114" s="167"/>
      <c r="D114" s="139"/>
      <c r="E114" s="189">
        <f>Forudsætninger!D107</f>
        <v>0</v>
      </c>
      <c r="F114" s="204">
        <v>0</v>
      </c>
      <c r="G114" s="170"/>
      <c r="H114" s="168"/>
      <c r="I114" s="168"/>
      <c r="J114" s="168"/>
      <c r="K114" s="142" t="s">
        <v>84</v>
      </c>
      <c r="L114" s="169"/>
      <c r="M114" s="83">
        <f>+IF($D$112="Ja",E114*F114,0)</f>
        <v>0</v>
      </c>
    </row>
    <row r="115" spans="1:13" x14ac:dyDescent="0.2">
      <c r="A115" s="39"/>
      <c r="B115" s="2"/>
      <c r="C115" s="110"/>
      <c r="D115" s="110"/>
      <c r="E115" s="125" t="s">
        <v>118</v>
      </c>
      <c r="F115" s="144" t="s">
        <v>119</v>
      </c>
      <c r="G115" s="110"/>
      <c r="H115" s="110"/>
      <c r="I115" s="110"/>
      <c r="J115" s="110"/>
      <c r="K115" s="110"/>
      <c r="L115" s="110"/>
      <c r="M115" s="11"/>
    </row>
    <row r="116" spans="1:13" x14ac:dyDescent="0.2">
      <c r="A116" s="163" t="s">
        <v>120</v>
      </c>
      <c r="B116" s="166"/>
      <c r="C116" s="167"/>
      <c r="D116" s="139"/>
      <c r="E116" s="80">
        <f>+Forudsætninger!D108</f>
        <v>3.73</v>
      </c>
      <c r="F116" s="204">
        <v>0</v>
      </c>
      <c r="G116" s="170"/>
      <c r="H116" s="168"/>
      <c r="I116" s="168"/>
      <c r="J116" s="168"/>
      <c r="K116" s="142" t="s">
        <v>84</v>
      </c>
      <c r="L116" s="169"/>
      <c r="M116" s="83">
        <f>+IF($D$112="Ja",E116*F116,0)</f>
        <v>0</v>
      </c>
    </row>
    <row r="117" spans="1:13" x14ac:dyDescent="0.2">
      <c r="A117" s="190"/>
      <c r="B117" s="190"/>
      <c r="C117" s="191"/>
      <c r="D117" s="192"/>
      <c r="E117" s="307" t="s">
        <v>445</v>
      </c>
      <c r="F117" s="192"/>
      <c r="G117" s="193"/>
      <c r="H117" s="168"/>
      <c r="I117" s="168"/>
      <c r="J117" s="168"/>
      <c r="K117" s="194"/>
      <c r="L117" s="195"/>
      <c r="M117" s="127"/>
    </row>
    <row r="118" spans="1:13" x14ac:dyDescent="0.2">
      <c r="A118" s="347" t="s">
        <v>452</v>
      </c>
      <c r="B118" s="349"/>
      <c r="C118" s="350"/>
      <c r="D118" s="167" t="s">
        <v>442</v>
      </c>
      <c r="E118" s="204">
        <v>0</v>
      </c>
      <c r="F118" s="189">
        <v>1962.6</v>
      </c>
      <c r="G118" s="170"/>
      <c r="H118" s="168"/>
      <c r="I118" s="168"/>
      <c r="J118" s="168"/>
      <c r="K118" s="142" t="s">
        <v>444</v>
      </c>
      <c r="L118" s="169"/>
      <c r="M118" s="83">
        <f>+E118*F118</f>
        <v>0</v>
      </c>
    </row>
    <row r="119" spans="1:13" x14ac:dyDescent="0.2">
      <c r="A119" s="348"/>
      <c r="B119" s="351"/>
      <c r="C119" s="352"/>
      <c r="D119" s="167" t="s">
        <v>443</v>
      </c>
      <c r="E119" s="204">
        <v>0</v>
      </c>
      <c r="F119" s="189">
        <v>2098.27</v>
      </c>
      <c r="G119" s="308"/>
      <c r="H119" s="168"/>
      <c r="I119" s="168"/>
      <c r="J119" s="168"/>
      <c r="K119" s="142" t="s">
        <v>444</v>
      </c>
      <c r="L119" s="169"/>
      <c r="M119" s="83">
        <f>+E119*F119</f>
        <v>0</v>
      </c>
    </row>
    <row r="120" spans="1:13" ht="13.15" thickBot="1" x14ac:dyDescent="0.25">
      <c r="A120" s="190"/>
      <c r="B120" s="190"/>
      <c r="C120" s="191"/>
      <c r="D120" s="192"/>
      <c r="E120" s="192"/>
      <c r="F120" s="192"/>
      <c r="G120" s="193"/>
      <c r="H120" s="168"/>
      <c r="I120" s="168"/>
      <c r="J120" s="168"/>
      <c r="K120" s="194"/>
      <c r="L120" s="195"/>
      <c r="M120" s="127"/>
    </row>
    <row r="121" spans="1:13" ht="13.15" thickBot="1" x14ac:dyDescent="0.25">
      <c r="A121" s="171" t="s">
        <v>152</v>
      </c>
      <c r="B121" s="172"/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  <c r="M121" s="173" t="e">
        <f>SUM(M108:O119)</f>
        <v>#DIV/0!</v>
      </c>
    </row>
    <row r="122" spans="1:13" x14ac:dyDescent="0.2">
      <c r="A122" s="2"/>
      <c r="M122" s="184"/>
    </row>
    <row r="123" spans="1:13" x14ac:dyDescent="0.2">
      <c r="A123" s="187" t="s">
        <v>277</v>
      </c>
      <c r="B123" s="175"/>
      <c r="C123" s="175"/>
      <c r="D123" s="175"/>
      <c r="E123" s="175"/>
      <c r="F123" s="175"/>
      <c r="G123" s="175"/>
      <c r="H123" s="175"/>
      <c r="I123" s="175"/>
      <c r="J123" s="175"/>
      <c r="K123" s="175"/>
      <c r="L123" s="175"/>
      <c r="M123" s="188" t="e">
        <f>+(M83+M121+M101+M89)</f>
        <v>#DIV/0!</v>
      </c>
    </row>
    <row r="124" spans="1:13" x14ac:dyDescent="0.2">
      <c r="A124" s="2"/>
      <c r="M124" s="184"/>
    </row>
    <row r="125" spans="1:13" x14ac:dyDescent="0.2">
      <c r="A125" s="3" t="s">
        <v>199</v>
      </c>
      <c r="B125" s="2"/>
      <c r="C125" s="2"/>
      <c r="D125" s="2"/>
      <c r="E125" s="2"/>
      <c r="F125" s="2"/>
      <c r="G125" s="2"/>
      <c r="H125" s="2"/>
      <c r="I125" s="2"/>
      <c r="J125" s="2"/>
      <c r="M125" s="184"/>
    </row>
    <row r="126" spans="1:13" x14ac:dyDescent="0.2">
      <c r="A126" s="2" t="s">
        <v>72</v>
      </c>
      <c r="B126" s="2" t="s">
        <v>439</v>
      </c>
      <c r="C126" s="2"/>
      <c r="D126" s="2"/>
      <c r="E126" s="2"/>
      <c r="F126" s="2"/>
      <c r="G126" s="2"/>
      <c r="H126" s="2"/>
      <c r="I126" s="2"/>
      <c r="J126" s="2"/>
      <c r="M126" s="184"/>
    </row>
    <row r="127" spans="1:13" x14ac:dyDescent="0.2">
      <c r="A127" s="3" t="s">
        <v>75</v>
      </c>
      <c r="B127" s="196" t="s">
        <v>440</v>
      </c>
      <c r="C127" s="2"/>
      <c r="D127" s="2"/>
      <c r="E127" s="2"/>
      <c r="F127" s="2"/>
      <c r="G127" s="2"/>
      <c r="H127" s="2"/>
      <c r="I127" s="2"/>
      <c r="J127" s="2"/>
      <c r="M127" s="184"/>
    </row>
    <row r="128" spans="1:13" x14ac:dyDescent="0.2">
      <c r="F128" s="197"/>
      <c r="I128" s="197"/>
      <c r="J128" s="128"/>
      <c r="M128" s="198"/>
    </row>
    <row r="129" spans="1:13" x14ac:dyDescent="0.2">
      <c r="A129" s="3" t="s">
        <v>204</v>
      </c>
      <c r="F129" s="199"/>
      <c r="I129" s="128"/>
      <c r="J129" s="128"/>
      <c r="M129" s="198"/>
    </row>
    <row r="130" spans="1:13" ht="23.95" customHeight="1" x14ac:dyDescent="0.2">
      <c r="A130" s="353" t="s">
        <v>161</v>
      </c>
      <c r="B130" s="353"/>
      <c r="C130" s="353"/>
      <c r="D130" s="353"/>
      <c r="E130" s="353"/>
      <c r="F130" s="353"/>
      <c r="G130" s="353"/>
      <c r="H130" s="353"/>
      <c r="I130" s="353"/>
      <c r="J130" s="353"/>
      <c r="K130" s="353"/>
      <c r="L130" s="353"/>
      <c r="M130" s="353"/>
    </row>
    <row r="131" spans="1:13" x14ac:dyDescent="0.2">
      <c r="A131" s="2"/>
      <c r="M131" s="198"/>
    </row>
    <row r="132" spans="1:13" x14ac:dyDescent="0.2">
      <c r="A132" s="3" t="s">
        <v>306</v>
      </c>
      <c r="F132" s="199"/>
      <c r="I132" s="197"/>
    </row>
    <row r="133" spans="1:13" ht="23.95" customHeight="1" x14ac:dyDescent="0.2">
      <c r="A133" s="353" t="s">
        <v>304</v>
      </c>
      <c r="B133" s="353"/>
      <c r="C133" s="353"/>
      <c r="D133" s="353"/>
      <c r="E133" s="353"/>
      <c r="F133" s="353"/>
      <c r="G133" s="353"/>
      <c r="H133" s="353"/>
      <c r="I133" s="353"/>
      <c r="J133" s="353"/>
      <c r="K133" s="353"/>
      <c r="L133" s="353"/>
      <c r="M133" s="353"/>
    </row>
    <row r="135" spans="1:13" x14ac:dyDescent="0.2">
      <c r="A135" s="3" t="s">
        <v>446</v>
      </c>
    </row>
    <row r="136" spans="1:13" x14ac:dyDescent="0.2">
      <c r="A136" s="346" t="s">
        <v>448</v>
      </c>
      <c r="B136" s="346"/>
      <c r="C136" s="346"/>
      <c r="D136" s="346"/>
      <c r="E136" s="346"/>
      <c r="F136" s="346"/>
      <c r="G136" s="346"/>
      <c r="H136" s="346"/>
      <c r="I136" s="346"/>
      <c r="J136" s="346"/>
      <c r="K136" s="346"/>
      <c r="L136" s="346"/>
      <c r="M136" s="346"/>
    </row>
    <row r="137" spans="1:13" x14ac:dyDescent="0.2">
      <c r="A137" s="346" t="s">
        <v>449</v>
      </c>
      <c r="B137" s="346"/>
      <c r="C137" s="346"/>
      <c r="D137" s="346"/>
      <c r="E137" s="346"/>
      <c r="F137" s="346"/>
      <c r="G137" s="346"/>
      <c r="H137" s="346"/>
      <c r="I137" s="346"/>
      <c r="J137" s="346"/>
      <c r="K137" s="346"/>
      <c r="L137" s="346"/>
      <c r="M137" s="346"/>
    </row>
    <row r="138" spans="1:13" x14ac:dyDescent="0.2">
      <c r="A138" s="346" t="s">
        <v>447</v>
      </c>
      <c r="B138" s="346"/>
      <c r="C138" s="346"/>
      <c r="D138" s="346"/>
      <c r="E138" s="346"/>
      <c r="F138" s="346"/>
      <c r="G138" s="346"/>
      <c r="H138" s="346"/>
      <c r="I138" s="346"/>
      <c r="J138" s="346"/>
      <c r="K138" s="346"/>
      <c r="L138" s="346"/>
      <c r="M138" s="346"/>
    </row>
  </sheetData>
  <sheetProtection algorithmName="SHA-512" hashValue="1WVAxhrHkvWJjrm/gqIMQlVeB6NaYIha1zxbo+JBlJwveNjOXSySKYAwzkTpnnP5qOy/JjWVo1eSkc0vuEfQUQ==" saltValue="edNuWpMfvwyHjhZiJDFpLg==" spinCount="100000" sheet="1" objects="1" scenarios="1"/>
  <mergeCells count="14">
    <mergeCell ref="N10:O10"/>
    <mergeCell ref="I2:M2"/>
    <mergeCell ref="A99:C99"/>
    <mergeCell ref="A8:E8"/>
    <mergeCell ref="B4:C4"/>
    <mergeCell ref="A9:E9"/>
    <mergeCell ref="C83:D83"/>
    <mergeCell ref="A136:M136"/>
    <mergeCell ref="A137:M137"/>
    <mergeCell ref="A138:M138"/>
    <mergeCell ref="A118:A119"/>
    <mergeCell ref="B118:C119"/>
    <mergeCell ref="A133:M133"/>
    <mergeCell ref="A130:M130"/>
  </mergeCells>
  <dataValidations xWindow="336" yWindow="418" count="9">
    <dataValidation allowBlank="1" showInputMessage="1" showErrorMessage="1" promptTitle="Til dato" prompt="Indtast slutdato i perioden, dvs. sidste dag i perioden._x000a_dd-mm-åååå_x000a_Eks. ved årsbudget: hvis startdato er 01-04-2019 skal slutdato være 31-03-2020_x000a_" sqref="E6" xr:uid="{FCD3C4CC-A4ED-4497-BF65-84E6FE7B2964}"/>
    <dataValidation type="list" allowBlank="1" showInputMessage="1" showErrorMessage="1" sqref="D112 D60" xr:uid="{00000000-0002-0000-0200-000001000000}">
      <formula1>"Vælg,Ja,Nej"</formula1>
    </dataValidation>
    <dataValidation type="list" allowBlank="1" showInputMessage="1" showErrorMessage="1" sqref="D99" xr:uid="{00000000-0002-0000-0200-000002000000}">
      <formula1>"Vælg, Beregner, Overhead"</formula1>
    </dataValidation>
    <dataValidation type="list" allowBlank="1" showInputMessage="1" showErrorMessage="1" sqref="F8" xr:uid="{00000000-0002-0000-0200-000003000000}">
      <formula1>Løntrin</formula1>
    </dataValidation>
    <dataValidation type="list" allowBlank="1" showInputMessage="1" showErrorMessage="1" sqref="B4:C4" xr:uid="{00000000-0002-0000-0200-000004000000}">
      <formula1>Kommuneliste</formula1>
    </dataValidation>
    <dataValidation type="list" allowBlank="1" showInputMessage="1" showErrorMessage="1" promptTitle="Vælg type antal ansatte" prompt="Vælg om der skal beregnes med de faktiske hjælpere i ordningen indsat ved &quot;Løse timer&quot; eller der skal benyttes antal forventede årlige hjælpere ud fra gennemsnitsmodellen på faneblad &quot;Administration&quot;, hvor i afløsere samt udskiftning er medtaget. " sqref="F99" xr:uid="{00000000-0002-0000-0200-000005000000}">
      <formula1>"Vælg, Faktiske ansatte, Årlige ansatte"</formula1>
    </dataValidation>
    <dataValidation type="list" allowBlank="1" showInputMessage="1" showErrorMessage="1" sqref="D93 D95" xr:uid="{00000000-0002-0000-0200-000006000000}">
      <formula1>"Ja,Nej"</formula1>
    </dataValidation>
    <dataValidation type="list" allowBlank="1" showInputMessage="1" showErrorMessage="1" promptTitle="Løntillæg til ufaglærte" prompt="Tag stilling til om løntillæg til ufaglærte skal medtages ved tilskudsberegning med løntillæg 13 til 15_x000a_OBS almindelig erfaringsløn løntrin 12 er indregnet ved rummeligheden" sqref="F9" xr:uid="{00000000-0002-0000-0200-000007000000}">
      <formula1>Vælg</formula1>
    </dataValidation>
    <dataValidation allowBlank="1" showInputMessage="1" showErrorMessage="1" promptTitle="Indsæt rummelighedsprocent" prompt="Indsæt rummelighedsprocent, hvis det valgte løntrin i beregneren er højere end løntrin 11. Yderligere forklaring af rummelighed, findes i fanebladet &quot;Forudsætninger&quot;. Hvis intet indsættes benyttes de almindelige p/l-fremskrivning faneblad &quot;Administration&quot;" sqref="E83" xr:uid="{00000000-0002-0000-0200-000008000000}"/>
  </dataValidations>
  <pageMargins left="0.7" right="0.7" top="0.75" bottom="0.75" header="0.3" footer="0.3"/>
  <pageSetup paperSize="8" scale="7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143"/>
  <sheetViews>
    <sheetView workbookViewId="0">
      <selection activeCell="B4" sqref="B4:C4"/>
    </sheetView>
  </sheetViews>
  <sheetFormatPr defaultColWidth="9.375" defaultRowHeight="12.55" outlineLevelCol="1" x14ac:dyDescent="0.2"/>
  <cols>
    <col min="1" max="1" width="37.375" style="100" customWidth="1"/>
    <col min="2" max="2" width="10.625" style="100" customWidth="1"/>
    <col min="3" max="3" width="14" style="100" customWidth="1"/>
    <col min="4" max="4" width="18" style="100" customWidth="1"/>
    <col min="5" max="5" width="16.625" style="100" customWidth="1"/>
    <col min="6" max="6" width="12.375" style="100" bestFit="1" customWidth="1"/>
    <col min="7" max="7" width="11.625" style="100" customWidth="1"/>
    <col min="8" max="8" width="11" style="100" bestFit="1" customWidth="1"/>
    <col min="9" max="9" width="12.125" style="100" bestFit="1" customWidth="1"/>
    <col min="10" max="12" width="9.5" style="100" bestFit="1" customWidth="1"/>
    <col min="13" max="13" width="16" style="100" customWidth="1"/>
    <col min="14" max="14" width="15" style="100" hidden="1" customWidth="1" outlineLevel="1"/>
    <col min="15" max="15" width="10.5" style="100" hidden="1" customWidth="1" outlineLevel="1"/>
    <col min="16" max="16" width="14.375" style="100" bestFit="1" customWidth="1" collapsed="1"/>
    <col min="17" max="17" width="14" style="100" customWidth="1"/>
    <col min="18" max="20" width="9.375" style="100"/>
    <col min="21" max="21" width="15.625" style="100" bestFit="1" customWidth="1"/>
    <col min="22" max="22" width="12.625" style="100" customWidth="1"/>
    <col min="23" max="16384" width="9.375" style="100"/>
  </cols>
  <sheetData>
    <row r="1" spans="1:22" ht="17.55" thickBot="1" x14ac:dyDescent="0.3">
      <c r="A1" s="209" t="s">
        <v>99</v>
      </c>
      <c r="B1" s="99"/>
      <c r="C1" s="99"/>
      <c r="D1" s="99"/>
      <c r="E1" s="99"/>
      <c r="F1" s="99"/>
      <c r="G1" s="99"/>
      <c r="H1" s="99"/>
      <c r="I1" s="99"/>
      <c r="J1" s="99"/>
    </row>
    <row r="2" spans="1:22" ht="16.3" thickBot="1" x14ac:dyDescent="0.35">
      <c r="A2" s="101" t="s">
        <v>232</v>
      </c>
      <c r="B2" s="99"/>
      <c r="C2" s="99"/>
      <c r="D2" s="99"/>
      <c r="E2" s="99"/>
      <c r="F2" s="99"/>
      <c r="G2" s="99"/>
      <c r="H2" s="99"/>
      <c r="I2" s="355" t="s">
        <v>262</v>
      </c>
      <c r="J2" s="356"/>
      <c r="K2" s="356"/>
      <c r="L2" s="356"/>
      <c r="M2" s="357"/>
    </row>
    <row r="3" spans="1:22" ht="21.3" x14ac:dyDescent="0.35">
      <c r="A3" s="210"/>
      <c r="B3" s="99"/>
      <c r="C3" s="99"/>
      <c r="D3" s="99"/>
      <c r="E3" s="99"/>
      <c r="F3" s="99"/>
      <c r="G3" s="99"/>
      <c r="H3" s="99"/>
      <c r="I3" s="99"/>
      <c r="J3" s="99"/>
    </row>
    <row r="4" spans="1:22" ht="15.05" x14ac:dyDescent="0.25">
      <c r="A4" s="102" t="s">
        <v>3</v>
      </c>
      <c r="B4" s="363" t="s">
        <v>406</v>
      </c>
      <c r="C4" s="364"/>
      <c r="E4" s="103" t="s">
        <v>181</v>
      </c>
      <c r="F4" s="295">
        <f>+VLOOKUP(B4,Kommunenavn,2)</f>
        <v>0</v>
      </c>
      <c r="H4" s="102" t="s">
        <v>4</v>
      </c>
      <c r="J4" s="200"/>
      <c r="K4" s="202"/>
      <c r="L4" s="201"/>
      <c r="O4" s="102"/>
    </row>
    <row r="5" spans="1:22" ht="15.05" x14ac:dyDescent="0.25">
      <c r="A5" s="3" t="s">
        <v>5</v>
      </c>
      <c r="B5" s="2"/>
      <c r="C5" s="203">
        <f>Forudsætninger!B8</f>
        <v>45566</v>
      </c>
      <c r="E5" s="103"/>
      <c r="H5" s="102"/>
      <c r="O5" s="75">
        <v>45474</v>
      </c>
    </row>
    <row r="6" spans="1:22" x14ac:dyDescent="0.2">
      <c r="A6" s="3" t="s">
        <v>274</v>
      </c>
      <c r="B6" s="2" t="s">
        <v>275</v>
      </c>
      <c r="C6" s="305">
        <v>45658</v>
      </c>
      <c r="D6" s="2" t="s">
        <v>276</v>
      </c>
      <c r="E6" s="305">
        <v>46022</v>
      </c>
      <c r="F6" s="2"/>
      <c r="G6" s="3"/>
      <c r="H6" s="3"/>
      <c r="I6" s="2"/>
      <c r="J6" s="3"/>
      <c r="K6" s="2"/>
      <c r="L6" s="2"/>
    </row>
    <row r="7" spans="1:22" ht="21.3" x14ac:dyDescent="0.2">
      <c r="A7" s="3"/>
      <c r="B7" s="2"/>
      <c r="D7" s="3"/>
      <c r="F7" s="106" t="s">
        <v>412</v>
      </c>
      <c r="G7" s="211" t="s">
        <v>221</v>
      </c>
      <c r="H7" s="3"/>
      <c r="I7" s="107" t="s">
        <v>6</v>
      </c>
      <c r="J7" s="107" t="s">
        <v>7</v>
      </c>
      <c r="K7" s="107" t="s">
        <v>8</v>
      </c>
      <c r="L7" s="107" t="s">
        <v>9</v>
      </c>
      <c r="M7" s="107" t="s">
        <v>263</v>
      </c>
    </row>
    <row r="8" spans="1:22" ht="21.8" customHeight="1" x14ac:dyDescent="0.2">
      <c r="A8" s="361" t="s">
        <v>433</v>
      </c>
      <c r="B8" s="362"/>
      <c r="C8" s="362"/>
      <c r="D8" s="362"/>
      <c r="E8" s="362"/>
      <c r="F8" s="294">
        <v>11</v>
      </c>
      <c r="G8" s="296">
        <f>+IF(F9="Ja",INDEX(Timepriser2,MATCH(F8,Løntrin2,0),MATCH(F4,Stedtillæg2,0)),INDEX(Timepriser,MATCH(F8,Løntrin,0),MATCH(F4,Stedtillæg,0)))</f>
        <v>145.55000000000001</v>
      </c>
      <c r="I8" s="215">
        <f>+G8*Forudsætninger!I43</f>
        <v>72.775000000000006</v>
      </c>
      <c r="J8" s="109">
        <f>+G8*Forudsætninger!I42</f>
        <v>46.153905000000002</v>
      </c>
      <c r="K8" s="109">
        <f>+G8*Forudsætninger!I40</f>
        <v>51.117160000000005</v>
      </c>
      <c r="L8" s="109">
        <f>+G8*Forudsætninger!I41</f>
        <v>57.142930000000007</v>
      </c>
      <c r="M8" s="117">
        <f>G8*Forudsætninger!I45</f>
        <v>109.16250000000001</v>
      </c>
      <c r="N8" s="71"/>
      <c r="O8" s="110"/>
      <c r="P8" s="212"/>
      <c r="V8" s="151"/>
    </row>
    <row r="9" spans="1:22" ht="24.75" customHeight="1" x14ac:dyDescent="0.2">
      <c r="A9" s="365" t="s">
        <v>436</v>
      </c>
      <c r="B9" s="365"/>
      <c r="C9" s="365"/>
      <c r="D9" s="365"/>
      <c r="E9" s="365"/>
      <c r="F9" s="294" t="s">
        <v>286</v>
      </c>
      <c r="G9" s="299"/>
      <c r="I9" s="2"/>
      <c r="J9" s="110"/>
      <c r="K9" s="110"/>
      <c r="L9" s="110"/>
      <c r="M9" s="110"/>
      <c r="N9" s="71"/>
      <c r="O9" s="110"/>
      <c r="P9" s="212"/>
      <c r="V9" s="151"/>
    </row>
    <row r="10" spans="1:22" ht="13.15" thickBo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54" t="s">
        <v>222</v>
      </c>
      <c r="O10" s="354"/>
    </row>
    <row r="11" spans="1:22" ht="31.95" x14ac:dyDescent="0.2">
      <c r="A11" s="112"/>
      <c r="B11" s="113" t="s">
        <v>10</v>
      </c>
      <c r="C11" s="113" t="s">
        <v>66</v>
      </c>
      <c r="D11" s="113" t="s">
        <v>49</v>
      </c>
      <c r="E11" s="113" t="s">
        <v>68</v>
      </c>
      <c r="F11" s="113" t="s">
        <v>11</v>
      </c>
      <c r="G11" s="113" t="s">
        <v>12</v>
      </c>
      <c r="H11" s="113" t="s">
        <v>7</v>
      </c>
      <c r="I11" s="113" t="s">
        <v>13</v>
      </c>
      <c r="J11" s="114" t="s">
        <v>14</v>
      </c>
      <c r="K11" s="112" t="s">
        <v>15</v>
      </c>
      <c r="L11" s="115" t="s">
        <v>67</v>
      </c>
      <c r="M11" s="116" t="s">
        <v>16</v>
      </c>
      <c r="N11" s="116" t="s">
        <v>86</v>
      </c>
      <c r="O11" s="116" t="s">
        <v>85</v>
      </c>
    </row>
    <row r="12" spans="1:22" x14ac:dyDescent="0.2">
      <c r="A12" s="95" t="s">
        <v>17</v>
      </c>
      <c r="B12" s="108" t="s">
        <v>18</v>
      </c>
      <c r="C12" s="204"/>
      <c r="D12" s="204"/>
      <c r="E12" s="204"/>
      <c r="F12" s="109">
        <f>+G8</f>
        <v>145.55000000000001</v>
      </c>
      <c r="G12" s="109" t="s">
        <v>19</v>
      </c>
      <c r="H12" s="109" t="s">
        <v>19</v>
      </c>
      <c r="I12" s="109" t="s">
        <v>19</v>
      </c>
      <c r="J12" s="117">
        <f>+L8</f>
        <v>57.142930000000007</v>
      </c>
      <c r="K12" s="118">
        <f>+M8</f>
        <v>109.16250000000001</v>
      </c>
      <c r="L12" s="119">
        <f>SUM(F12:J12)</f>
        <v>202.69293000000002</v>
      </c>
      <c r="M12" s="120">
        <f>+($C12+($D12/(Budgetark!$J$6)+$E12*3/4))*$F12+N12+O12/(Budgetark!$J$6)</f>
        <v>0</v>
      </c>
      <c r="N12" s="121">
        <f>SUM(G12:J12)*ROUNDUP(C12*2,0)/2</f>
        <v>0</v>
      </c>
      <c r="O12" s="122">
        <f>SUM(G12:J12)*ROUNDUP(D12*2,0)/2</f>
        <v>0</v>
      </c>
    </row>
    <row r="13" spans="1:22" x14ac:dyDescent="0.2">
      <c r="A13" s="95" t="s">
        <v>17</v>
      </c>
      <c r="B13" s="123" t="s">
        <v>20</v>
      </c>
      <c r="C13" s="204"/>
      <c r="D13" s="204"/>
      <c r="E13" s="204"/>
      <c r="F13" s="109">
        <f>+G8</f>
        <v>145.55000000000001</v>
      </c>
      <c r="G13" s="109"/>
      <c r="H13" s="109"/>
      <c r="I13" s="109"/>
      <c r="J13" s="117"/>
      <c r="K13" s="118">
        <f>+M8</f>
        <v>109.16250000000001</v>
      </c>
      <c r="L13" s="119">
        <f>SUM(F13:J13)</f>
        <v>145.55000000000001</v>
      </c>
      <c r="M13" s="120">
        <f>+($C13+($D13/(Budgetark!$J$6)+$E13*3/4))*$F13+N13+O13/(Budgetark!$J$6)</f>
        <v>0</v>
      </c>
      <c r="N13" s="121">
        <f t="shared" ref="N13:N46" si="0">SUM(G13:J13)*ROUNDUP(C13*2,0)/2</f>
        <v>0</v>
      </c>
      <c r="O13" s="122">
        <f t="shared" ref="O13:O46" si="1">SUM(G13:J13)*ROUNDUP(D13*2,0)/2</f>
        <v>0</v>
      </c>
    </row>
    <row r="14" spans="1:22" x14ac:dyDescent="0.2">
      <c r="A14" s="95" t="s">
        <v>17</v>
      </c>
      <c r="B14" s="123" t="s">
        <v>21</v>
      </c>
      <c r="C14" s="204"/>
      <c r="D14" s="204"/>
      <c r="E14" s="204"/>
      <c r="F14" s="109">
        <f>+G8</f>
        <v>145.55000000000001</v>
      </c>
      <c r="G14" s="109"/>
      <c r="H14" s="109"/>
      <c r="I14" s="109">
        <f>+K8</f>
        <v>51.117160000000005</v>
      </c>
      <c r="J14" s="117"/>
      <c r="K14" s="118">
        <f>+M8</f>
        <v>109.16250000000001</v>
      </c>
      <c r="L14" s="119">
        <f>SUM(F14:J14)</f>
        <v>196.66716000000002</v>
      </c>
      <c r="M14" s="120">
        <f>+($C14+($D14/(Budgetark!$J$6)+$E14*3/4))*$F14+N14+O14/(Budgetark!$J$6)</f>
        <v>0</v>
      </c>
      <c r="N14" s="121">
        <f t="shared" si="0"/>
        <v>0</v>
      </c>
      <c r="O14" s="122">
        <f t="shared" si="1"/>
        <v>0</v>
      </c>
      <c r="P14" s="124"/>
      <c r="Q14" s="124"/>
    </row>
    <row r="15" spans="1:22" x14ac:dyDescent="0.2">
      <c r="A15" s="95" t="s">
        <v>17</v>
      </c>
      <c r="B15" s="108" t="s">
        <v>22</v>
      </c>
      <c r="C15" s="204"/>
      <c r="D15" s="204"/>
      <c r="E15" s="204"/>
      <c r="F15" s="109">
        <f>+G8</f>
        <v>145.55000000000001</v>
      </c>
      <c r="G15" s="109"/>
      <c r="H15" s="109"/>
      <c r="I15" s="109" t="s">
        <v>19</v>
      </c>
      <c r="J15" s="117">
        <f>+L8</f>
        <v>57.142930000000007</v>
      </c>
      <c r="K15" s="118">
        <f>+M8</f>
        <v>109.16250000000001</v>
      </c>
      <c r="L15" s="119">
        <f>SUM(F15:J15)</f>
        <v>202.69293000000002</v>
      </c>
      <c r="M15" s="120">
        <f>+($C15+($D15/(Budgetark!$J$6)+$E15*3/4))*$F15+N15+O15/(Budgetark!$J$6)</f>
        <v>0</v>
      </c>
      <c r="N15" s="121">
        <f t="shared" si="0"/>
        <v>0</v>
      </c>
      <c r="O15" s="122">
        <f t="shared" si="1"/>
        <v>0</v>
      </c>
    </row>
    <row r="16" spans="1:22" x14ac:dyDescent="0.2">
      <c r="A16" s="39"/>
      <c r="B16" s="2"/>
      <c r="C16" s="125"/>
      <c r="D16" s="125"/>
      <c r="E16" s="125"/>
      <c r="F16" s="125" t="s">
        <v>19</v>
      </c>
      <c r="G16" s="125"/>
      <c r="H16" s="125"/>
      <c r="I16" s="125"/>
      <c r="J16" s="125"/>
      <c r="K16" s="126"/>
      <c r="L16" s="127" t="s">
        <v>19</v>
      </c>
      <c r="M16" s="120"/>
      <c r="N16" s="121"/>
      <c r="O16" s="122"/>
    </row>
    <row r="17" spans="1:16" x14ac:dyDescent="0.2">
      <c r="A17" s="95" t="s">
        <v>23</v>
      </c>
      <c r="B17" s="108" t="s">
        <v>18</v>
      </c>
      <c r="C17" s="204"/>
      <c r="D17" s="204"/>
      <c r="E17" s="204"/>
      <c r="F17" s="109">
        <f>+G8</f>
        <v>145.55000000000001</v>
      </c>
      <c r="G17" s="109" t="s">
        <v>19</v>
      </c>
      <c r="H17" s="109" t="s">
        <v>19</v>
      </c>
      <c r="I17" s="109" t="s">
        <v>19</v>
      </c>
      <c r="J17" s="117">
        <f>+L8</f>
        <v>57.142930000000007</v>
      </c>
      <c r="K17" s="118">
        <f>+M8</f>
        <v>109.16250000000001</v>
      </c>
      <c r="L17" s="119">
        <f>SUM(F17:J17)</f>
        <v>202.69293000000002</v>
      </c>
      <c r="M17" s="120">
        <f>+($C17+($D17/(Budgetark!$J$6)+$E17*3/4))*$F17+N17+O17/(Budgetark!$J$6)</f>
        <v>0</v>
      </c>
      <c r="N17" s="121">
        <f t="shared" si="0"/>
        <v>0</v>
      </c>
      <c r="O17" s="122">
        <f t="shared" si="1"/>
        <v>0</v>
      </c>
      <c r="P17" s="128"/>
    </row>
    <row r="18" spans="1:16" x14ac:dyDescent="0.2">
      <c r="A18" s="95" t="s">
        <v>23</v>
      </c>
      <c r="B18" s="123" t="s">
        <v>20</v>
      </c>
      <c r="C18" s="204"/>
      <c r="D18" s="204"/>
      <c r="E18" s="204"/>
      <c r="F18" s="109">
        <f>+G8</f>
        <v>145.55000000000001</v>
      </c>
      <c r="G18" s="109"/>
      <c r="H18" s="109"/>
      <c r="I18" s="109"/>
      <c r="J18" s="117"/>
      <c r="K18" s="118">
        <f>+M8</f>
        <v>109.16250000000001</v>
      </c>
      <c r="L18" s="119">
        <f>SUM(F18:J18)</f>
        <v>145.55000000000001</v>
      </c>
      <c r="M18" s="120">
        <f>+($C18+($D18/(Budgetark!$J$6)+$E18*3/4))*$F18+N18+O18/(Budgetark!$J$6)</f>
        <v>0</v>
      </c>
      <c r="N18" s="121">
        <f t="shared" si="0"/>
        <v>0</v>
      </c>
      <c r="O18" s="122">
        <f t="shared" si="1"/>
        <v>0</v>
      </c>
      <c r="P18" s="128"/>
    </row>
    <row r="19" spans="1:16" x14ac:dyDescent="0.2">
      <c r="A19" s="95" t="s">
        <v>23</v>
      </c>
      <c r="B19" s="123" t="s">
        <v>21</v>
      </c>
      <c r="C19" s="204"/>
      <c r="D19" s="204"/>
      <c r="E19" s="204"/>
      <c r="F19" s="109">
        <f>+G8</f>
        <v>145.55000000000001</v>
      </c>
      <c r="G19" s="109"/>
      <c r="H19" s="109"/>
      <c r="I19" s="109">
        <f>+K8</f>
        <v>51.117160000000005</v>
      </c>
      <c r="J19" s="117"/>
      <c r="K19" s="118">
        <f>+M8</f>
        <v>109.16250000000001</v>
      </c>
      <c r="L19" s="119">
        <f>SUM(F19:J19)</f>
        <v>196.66716000000002</v>
      </c>
      <c r="M19" s="120">
        <f>+($C19+($D19/(Budgetark!$J$6)+$E19*3/4))*$F19+N19+O19/(Budgetark!$J$6)</f>
        <v>0</v>
      </c>
      <c r="N19" s="121">
        <f t="shared" si="0"/>
        <v>0</v>
      </c>
      <c r="O19" s="122">
        <f t="shared" si="1"/>
        <v>0</v>
      </c>
      <c r="P19" s="129"/>
    </row>
    <row r="20" spans="1:16" x14ac:dyDescent="0.2">
      <c r="A20" s="95" t="s">
        <v>23</v>
      </c>
      <c r="B20" s="108" t="s">
        <v>22</v>
      </c>
      <c r="C20" s="204"/>
      <c r="D20" s="204"/>
      <c r="E20" s="204"/>
      <c r="F20" s="109">
        <f>+G8</f>
        <v>145.55000000000001</v>
      </c>
      <c r="G20" s="109"/>
      <c r="H20" s="109"/>
      <c r="I20" s="109" t="s">
        <v>19</v>
      </c>
      <c r="J20" s="117">
        <f>+L8</f>
        <v>57.142930000000007</v>
      </c>
      <c r="K20" s="118">
        <f>+M8</f>
        <v>109.16250000000001</v>
      </c>
      <c r="L20" s="119">
        <f>SUM(F20:J20)</f>
        <v>202.69293000000002</v>
      </c>
      <c r="M20" s="120">
        <f>+($C20+($D20/(Budgetark!$J$6)+$E20*3/4))*$F20+N20+O20/(Budgetark!$J$6)</f>
        <v>0</v>
      </c>
      <c r="N20" s="121">
        <f t="shared" si="0"/>
        <v>0</v>
      </c>
      <c r="O20" s="122">
        <f t="shared" si="1"/>
        <v>0</v>
      </c>
      <c r="P20" s="129"/>
    </row>
    <row r="21" spans="1:16" x14ac:dyDescent="0.2">
      <c r="A21" s="39"/>
      <c r="B21" s="2"/>
      <c r="C21" s="125"/>
      <c r="D21" s="125"/>
      <c r="E21" s="125"/>
      <c r="F21" s="125" t="s">
        <v>19</v>
      </c>
      <c r="G21" s="125"/>
      <c r="H21" s="125"/>
      <c r="I21" s="125"/>
      <c r="J21" s="125"/>
      <c r="K21" s="126"/>
      <c r="L21" s="127" t="s">
        <v>19</v>
      </c>
      <c r="M21" s="120"/>
      <c r="N21" s="121"/>
      <c r="O21" s="122"/>
    </row>
    <row r="22" spans="1:16" x14ac:dyDescent="0.2">
      <c r="A22" s="95" t="s">
        <v>24</v>
      </c>
      <c r="B22" s="108" t="s">
        <v>18</v>
      </c>
      <c r="C22" s="204"/>
      <c r="D22" s="204"/>
      <c r="E22" s="204"/>
      <c r="F22" s="109">
        <f>+G8</f>
        <v>145.55000000000001</v>
      </c>
      <c r="G22" s="109" t="s">
        <v>19</v>
      </c>
      <c r="H22" s="109" t="s">
        <v>19</v>
      </c>
      <c r="I22" s="109" t="s">
        <v>19</v>
      </c>
      <c r="J22" s="117">
        <f>+L8</f>
        <v>57.142930000000007</v>
      </c>
      <c r="K22" s="118">
        <f>+M8</f>
        <v>109.16250000000001</v>
      </c>
      <c r="L22" s="119">
        <f>SUM(F22:J22)</f>
        <v>202.69293000000002</v>
      </c>
      <c r="M22" s="120">
        <f>+($C22+($D22/(Budgetark!$J$6)+$E22*3/4))*$F22+N22+O22/(Budgetark!$J$6)</f>
        <v>0</v>
      </c>
      <c r="N22" s="121">
        <f t="shared" si="0"/>
        <v>0</v>
      </c>
      <c r="O22" s="122">
        <f t="shared" si="1"/>
        <v>0</v>
      </c>
    </row>
    <row r="23" spans="1:16" x14ac:dyDescent="0.2">
      <c r="A23" s="95" t="s">
        <v>24</v>
      </c>
      <c r="B23" s="123" t="s">
        <v>20</v>
      </c>
      <c r="C23" s="204"/>
      <c r="D23" s="204"/>
      <c r="E23" s="204"/>
      <c r="F23" s="109">
        <f>+G8</f>
        <v>145.55000000000001</v>
      </c>
      <c r="G23" s="109"/>
      <c r="H23" s="109"/>
      <c r="I23" s="109"/>
      <c r="J23" s="117"/>
      <c r="K23" s="118">
        <f>+M8</f>
        <v>109.16250000000001</v>
      </c>
      <c r="L23" s="119">
        <f>SUM(F23:J23)</f>
        <v>145.55000000000001</v>
      </c>
      <c r="M23" s="120">
        <f>+($C23+($D23/(Budgetark!$J$6)+$E23*3/4))*$F23+N23+O23/(Budgetark!$J$6)</f>
        <v>0</v>
      </c>
      <c r="N23" s="121">
        <f t="shared" si="0"/>
        <v>0</v>
      </c>
      <c r="O23" s="122">
        <f t="shared" si="1"/>
        <v>0</v>
      </c>
    </row>
    <row r="24" spans="1:16" x14ac:dyDescent="0.2">
      <c r="A24" s="95" t="s">
        <v>24</v>
      </c>
      <c r="B24" s="123" t="s">
        <v>21</v>
      </c>
      <c r="C24" s="204"/>
      <c r="D24" s="204"/>
      <c r="E24" s="204"/>
      <c r="F24" s="109">
        <f>+G8</f>
        <v>145.55000000000001</v>
      </c>
      <c r="G24" s="109"/>
      <c r="H24" s="109"/>
      <c r="I24" s="109">
        <f>+K8</f>
        <v>51.117160000000005</v>
      </c>
      <c r="J24" s="117"/>
      <c r="K24" s="118">
        <f>+M8</f>
        <v>109.16250000000001</v>
      </c>
      <c r="L24" s="119">
        <f>SUM(F24:J24)</f>
        <v>196.66716000000002</v>
      </c>
      <c r="M24" s="120">
        <f>+($C24+($D24/(Budgetark!$J$6)+$E24*3/4))*$F24+N24+O24/(Budgetark!$J$6)</f>
        <v>0</v>
      </c>
      <c r="N24" s="121">
        <f t="shared" si="0"/>
        <v>0</v>
      </c>
      <c r="O24" s="122">
        <f t="shared" si="1"/>
        <v>0</v>
      </c>
    </row>
    <row r="25" spans="1:16" x14ac:dyDescent="0.2">
      <c r="A25" s="95" t="s">
        <v>24</v>
      </c>
      <c r="B25" s="108" t="s">
        <v>22</v>
      </c>
      <c r="C25" s="204"/>
      <c r="D25" s="204"/>
      <c r="E25" s="204"/>
      <c r="F25" s="109">
        <f>+G8</f>
        <v>145.55000000000001</v>
      </c>
      <c r="G25" s="109"/>
      <c r="H25" s="109"/>
      <c r="I25" s="109" t="s">
        <v>19</v>
      </c>
      <c r="J25" s="117">
        <f>+L8</f>
        <v>57.142930000000007</v>
      </c>
      <c r="K25" s="118">
        <f>+M8</f>
        <v>109.16250000000001</v>
      </c>
      <c r="L25" s="119">
        <f>SUM(F25:J25)</f>
        <v>202.69293000000002</v>
      </c>
      <c r="M25" s="120">
        <f>+($C25+($D25/(Budgetark!$J$6)+$E25*3/4))*$F25+N25+O25/(Budgetark!$J$6)</f>
        <v>0</v>
      </c>
      <c r="N25" s="121">
        <f t="shared" si="0"/>
        <v>0</v>
      </c>
      <c r="O25" s="122">
        <f t="shared" si="1"/>
        <v>0</v>
      </c>
    </row>
    <row r="26" spans="1:16" x14ac:dyDescent="0.2">
      <c r="A26" s="39"/>
      <c r="B26" s="2"/>
      <c r="C26" s="125"/>
      <c r="D26" s="125"/>
      <c r="E26" s="125"/>
      <c r="F26" s="125" t="s">
        <v>19</v>
      </c>
      <c r="G26" s="125"/>
      <c r="H26" s="125"/>
      <c r="I26" s="125"/>
      <c r="J26" s="125"/>
      <c r="K26" s="126"/>
      <c r="L26" s="127" t="s">
        <v>19</v>
      </c>
      <c r="M26" s="120"/>
      <c r="N26" s="121"/>
      <c r="O26" s="122"/>
    </row>
    <row r="27" spans="1:16" x14ac:dyDescent="0.2">
      <c r="A27" s="95" t="s">
        <v>25</v>
      </c>
      <c r="B27" s="108" t="s">
        <v>18</v>
      </c>
      <c r="C27" s="204"/>
      <c r="D27" s="204"/>
      <c r="E27" s="204"/>
      <c r="F27" s="109">
        <f>+G8</f>
        <v>145.55000000000001</v>
      </c>
      <c r="G27" s="109" t="s">
        <v>19</v>
      </c>
      <c r="H27" s="109" t="s">
        <v>19</v>
      </c>
      <c r="I27" s="109" t="s">
        <v>19</v>
      </c>
      <c r="J27" s="117">
        <f>+L8</f>
        <v>57.142930000000007</v>
      </c>
      <c r="K27" s="118">
        <f>+M8</f>
        <v>109.16250000000001</v>
      </c>
      <c r="L27" s="119">
        <f>SUM(F27:J27)</f>
        <v>202.69293000000002</v>
      </c>
      <c r="M27" s="120">
        <f>+($C27+($D27/(Budgetark!$J$6)+$E27*3/4))*$F27+N27+O27/(Budgetark!$J$6)</f>
        <v>0</v>
      </c>
      <c r="N27" s="121">
        <f t="shared" si="0"/>
        <v>0</v>
      </c>
      <c r="O27" s="122">
        <f t="shared" si="1"/>
        <v>0</v>
      </c>
    </row>
    <row r="28" spans="1:16" x14ac:dyDescent="0.2">
      <c r="A28" s="95" t="s">
        <v>25</v>
      </c>
      <c r="B28" s="123" t="s">
        <v>20</v>
      </c>
      <c r="C28" s="204"/>
      <c r="D28" s="204"/>
      <c r="E28" s="204"/>
      <c r="F28" s="109">
        <f>+G8</f>
        <v>145.55000000000001</v>
      </c>
      <c r="G28" s="109"/>
      <c r="H28" s="109"/>
      <c r="I28" s="109"/>
      <c r="J28" s="117"/>
      <c r="K28" s="118">
        <f>+M8</f>
        <v>109.16250000000001</v>
      </c>
      <c r="L28" s="119">
        <f>SUM(F28:J28)</f>
        <v>145.55000000000001</v>
      </c>
      <c r="M28" s="120">
        <f>+($C28+($D28/(Budgetark!$J$6)+$E28*3/4))*$F28+N28+O28/(Budgetark!$J$6)</f>
        <v>0</v>
      </c>
      <c r="N28" s="121">
        <f t="shared" si="0"/>
        <v>0</v>
      </c>
      <c r="O28" s="122">
        <f t="shared" si="1"/>
        <v>0</v>
      </c>
    </row>
    <row r="29" spans="1:16" x14ac:dyDescent="0.2">
      <c r="A29" s="95" t="s">
        <v>25</v>
      </c>
      <c r="B29" s="123" t="s">
        <v>21</v>
      </c>
      <c r="C29" s="204"/>
      <c r="D29" s="204"/>
      <c r="E29" s="204"/>
      <c r="F29" s="109">
        <f>+G8</f>
        <v>145.55000000000001</v>
      </c>
      <c r="G29" s="109"/>
      <c r="H29" s="109"/>
      <c r="I29" s="109">
        <f>+K8</f>
        <v>51.117160000000005</v>
      </c>
      <c r="J29" s="117" t="s">
        <v>19</v>
      </c>
      <c r="K29" s="118">
        <f>+M8</f>
        <v>109.16250000000001</v>
      </c>
      <c r="L29" s="119">
        <f>SUM(F29:J29)</f>
        <v>196.66716000000002</v>
      </c>
      <c r="M29" s="120">
        <f>+($C29+($D29/(Budgetark!$J$6)+$E29*3/4))*$F29+N29+O29/(Budgetark!$J$6)</f>
        <v>0</v>
      </c>
      <c r="N29" s="121">
        <f t="shared" si="0"/>
        <v>0</v>
      </c>
      <c r="O29" s="122">
        <f t="shared" si="1"/>
        <v>0</v>
      </c>
    </row>
    <row r="30" spans="1:16" x14ac:dyDescent="0.2">
      <c r="A30" s="95" t="s">
        <v>25</v>
      </c>
      <c r="B30" s="108" t="s">
        <v>22</v>
      </c>
      <c r="C30" s="204"/>
      <c r="D30" s="204"/>
      <c r="E30" s="204"/>
      <c r="F30" s="109">
        <f>+G8</f>
        <v>145.55000000000001</v>
      </c>
      <c r="G30" s="109"/>
      <c r="H30" s="109"/>
      <c r="I30" s="109" t="s">
        <v>19</v>
      </c>
      <c r="J30" s="117">
        <f>+L8</f>
        <v>57.142930000000007</v>
      </c>
      <c r="K30" s="118">
        <f>+M8</f>
        <v>109.16250000000001</v>
      </c>
      <c r="L30" s="119">
        <f>SUM(F30:J30)</f>
        <v>202.69293000000002</v>
      </c>
      <c r="M30" s="120">
        <f>+($C30+($D30/(Budgetark!$J$6)+$E30*3/4))*$F30+N30+O30/(Budgetark!$J$6)</f>
        <v>0</v>
      </c>
      <c r="N30" s="121">
        <f t="shared" si="0"/>
        <v>0</v>
      </c>
      <c r="O30" s="122">
        <f t="shared" si="1"/>
        <v>0</v>
      </c>
    </row>
    <row r="31" spans="1:16" x14ac:dyDescent="0.2">
      <c r="A31" s="39"/>
      <c r="B31" s="2"/>
      <c r="C31" s="125"/>
      <c r="D31" s="125"/>
      <c r="E31" s="125"/>
      <c r="F31" s="125" t="s">
        <v>19</v>
      </c>
      <c r="G31" s="125"/>
      <c r="H31" s="125"/>
      <c r="I31" s="125"/>
      <c r="J31" s="125"/>
      <c r="K31" s="126"/>
      <c r="L31" s="127" t="s">
        <v>19</v>
      </c>
      <c r="M31" s="120"/>
      <c r="N31" s="121"/>
      <c r="O31" s="122"/>
    </row>
    <row r="32" spans="1:16" x14ac:dyDescent="0.2">
      <c r="A32" s="95" t="s">
        <v>26</v>
      </c>
      <c r="B32" s="108" t="s">
        <v>18</v>
      </c>
      <c r="C32" s="204"/>
      <c r="D32" s="204"/>
      <c r="E32" s="204"/>
      <c r="F32" s="109">
        <f>+G8</f>
        <v>145.55000000000001</v>
      </c>
      <c r="G32" s="109" t="s">
        <v>19</v>
      </c>
      <c r="H32" s="109" t="s">
        <v>19</v>
      </c>
      <c r="I32" s="109" t="s">
        <v>19</v>
      </c>
      <c r="J32" s="117">
        <f>+L8</f>
        <v>57.142930000000007</v>
      </c>
      <c r="K32" s="118">
        <f>+M8</f>
        <v>109.16250000000001</v>
      </c>
      <c r="L32" s="119">
        <f>SUM(F32:J32)</f>
        <v>202.69293000000002</v>
      </c>
      <c r="M32" s="120">
        <f>+($C32+($D32/(Budgetark!$J$6)+$E32*3/4))*$F32+N32+O32/(Budgetark!$J$6)</f>
        <v>0</v>
      </c>
      <c r="N32" s="121">
        <f t="shared" si="0"/>
        <v>0</v>
      </c>
      <c r="O32" s="122">
        <f t="shared" si="1"/>
        <v>0</v>
      </c>
    </row>
    <row r="33" spans="1:16" x14ac:dyDescent="0.2">
      <c r="A33" s="95" t="s">
        <v>26</v>
      </c>
      <c r="B33" s="123" t="s">
        <v>20</v>
      </c>
      <c r="C33" s="204"/>
      <c r="D33" s="204"/>
      <c r="E33" s="204"/>
      <c r="F33" s="109">
        <f>+G8</f>
        <v>145.55000000000001</v>
      </c>
      <c r="G33" s="109"/>
      <c r="H33" s="109"/>
      <c r="I33" s="109"/>
      <c r="J33" s="117"/>
      <c r="K33" s="118">
        <f>+M8</f>
        <v>109.16250000000001</v>
      </c>
      <c r="L33" s="119">
        <f>SUM(F33:J33)</f>
        <v>145.55000000000001</v>
      </c>
      <c r="M33" s="120">
        <f>+($C33+($D33/(Budgetark!$J$6)+$E33*3/4))*$F33+N33+O33/(Budgetark!$J$6)</f>
        <v>0</v>
      </c>
      <c r="N33" s="121">
        <f t="shared" si="0"/>
        <v>0</v>
      </c>
      <c r="O33" s="122">
        <f t="shared" si="1"/>
        <v>0</v>
      </c>
    </row>
    <row r="34" spans="1:16" x14ac:dyDescent="0.2">
      <c r="A34" s="95" t="s">
        <v>26</v>
      </c>
      <c r="B34" s="123" t="s">
        <v>21</v>
      </c>
      <c r="C34" s="204"/>
      <c r="D34" s="204"/>
      <c r="E34" s="204"/>
      <c r="F34" s="109">
        <f>+G8</f>
        <v>145.55000000000001</v>
      </c>
      <c r="G34" s="109"/>
      <c r="H34" s="109"/>
      <c r="I34" s="109">
        <f>+K8</f>
        <v>51.117160000000005</v>
      </c>
      <c r="J34" s="117"/>
      <c r="K34" s="118">
        <f>+M8</f>
        <v>109.16250000000001</v>
      </c>
      <c r="L34" s="119">
        <f>SUM(F34:J34)</f>
        <v>196.66716000000002</v>
      </c>
      <c r="M34" s="120">
        <f>+($C34+($D34/(Budgetark!$J$6)+$E34*3/4))*$F34+N34+O34/(Budgetark!$J$6)</f>
        <v>0</v>
      </c>
      <c r="N34" s="121">
        <f t="shared" si="0"/>
        <v>0</v>
      </c>
      <c r="O34" s="122">
        <f t="shared" si="1"/>
        <v>0</v>
      </c>
    </row>
    <row r="35" spans="1:16" x14ac:dyDescent="0.2">
      <c r="A35" s="95" t="s">
        <v>26</v>
      </c>
      <c r="B35" s="108" t="s">
        <v>22</v>
      </c>
      <c r="C35" s="204"/>
      <c r="D35" s="204"/>
      <c r="E35" s="204"/>
      <c r="F35" s="109">
        <f>+G8</f>
        <v>145.55000000000001</v>
      </c>
      <c r="G35" s="109"/>
      <c r="H35" s="109"/>
      <c r="I35" s="109" t="s">
        <v>19</v>
      </c>
      <c r="J35" s="117">
        <f>+L8</f>
        <v>57.142930000000007</v>
      </c>
      <c r="K35" s="118">
        <f>+M8</f>
        <v>109.16250000000001</v>
      </c>
      <c r="L35" s="119">
        <f>SUM(F35:J35)</f>
        <v>202.69293000000002</v>
      </c>
      <c r="M35" s="120">
        <f>+($C35+($D35/(Budgetark!$J$6)+$E35*3/4))*$F35+N35+O35/(Budgetark!$J$6)</f>
        <v>0</v>
      </c>
      <c r="N35" s="121">
        <f t="shared" si="0"/>
        <v>0</v>
      </c>
      <c r="O35" s="122">
        <f t="shared" si="1"/>
        <v>0</v>
      </c>
    </row>
    <row r="36" spans="1:16" x14ac:dyDescent="0.2">
      <c r="A36" s="39"/>
      <c r="B36" s="2"/>
      <c r="C36" s="125"/>
      <c r="D36" s="125"/>
      <c r="E36" s="125"/>
      <c r="F36" s="125" t="s">
        <v>19</v>
      </c>
      <c r="G36" s="125"/>
      <c r="H36" s="125"/>
      <c r="I36" s="125"/>
      <c r="J36" s="125"/>
      <c r="K36" s="126"/>
      <c r="L36" s="127" t="s">
        <v>19</v>
      </c>
      <c r="M36" s="120"/>
      <c r="N36" s="121"/>
      <c r="O36" s="122"/>
    </row>
    <row r="37" spans="1:16" x14ac:dyDescent="0.2">
      <c r="A37" s="95" t="s">
        <v>27</v>
      </c>
      <c r="B37" s="108" t="s">
        <v>18</v>
      </c>
      <c r="C37" s="204"/>
      <c r="D37" s="204"/>
      <c r="E37" s="204"/>
      <c r="F37" s="109">
        <f>+G8</f>
        <v>145.55000000000001</v>
      </c>
      <c r="G37" s="109"/>
      <c r="H37" s="109"/>
      <c r="I37" s="109" t="s">
        <v>19</v>
      </c>
      <c r="J37" s="117">
        <f>+L8</f>
        <v>57.142930000000007</v>
      </c>
      <c r="K37" s="118">
        <f>+M8</f>
        <v>109.16250000000001</v>
      </c>
      <c r="L37" s="119">
        <f>SUM(F37:J37)</f>
        <v>202.69293000000002</v>
      </c>
      <c r="M37" s="120">
        <f>+($C37+($D37/(Budgetark!$J$6)+$E37*3/4))*$F37+N37+O37/(Budgetark!$J$6)</f>
        <v>0</v>
      </c>
      <c r="N37" s="121">
        <f t="shared" si="0"/>
        <v>0</v>
      </c>
      <c r="O37" s="122">
        <f t="shared" si="1"/>
        <v>0</v>
      </c>
    </row>
    <row r="38" spans="1:16" x14ac:dyDescent="0.2">
      <c r="A38" s="95" t="s">
        <v>27</v>
      </c>
      <c r="B38" s="123" t="s">
        <v>69</v>
      </c>
      <c r="C38" s="204"/>
      <c r="D38" s="204"/>
      <c r="E38" s="204"/>
      <c r="F38" s="109">
        <f>+G8</f>
        <v>145.55000000000001</v>
      </c>
      <c r="G38" s="109"/>
      <c r="H38" s="109"/>
      <c r="I38" s="109"/>
      <c r="J38" s="117"/>
      <c r="K38" s="118">
        <f>+M8</f>
        <v>109.16250000000001</v>
      </c>
      <c r="L38" s="119">
        <f>SUM(F38:J38)</f>
        <v>145.55000000000001</v>
      </c>
      <c r="M38" s="120">
        <f>+($C38+($D38/(Budgetark!$J$6)+$E38*3/4))*$F38+N38+O38/(Budgetark!$J$6)</f>
        <v>0</v>
      </c>
      <c r="N38" s="121">
        <f t="shared" si="0"/>
        <v>0</v>
      </c>
      <c r="O38" s="122">
        <f t="shared" si="1"/>
        <v>0</v>
      </c>
    </row>
    <row r="39" spans="1:16" x14ac:dyDescent="0.2">
      <c r="A39" s="95" t="s">
        <v>27</v>
      </c>
      <c r="B39" s="108" t="s">
        <v>70</v>
      </c>
      <c r="C39" s="204"/>
      <c r="D39" s="204"/>
      <c r="E39" s="204"/>
      <c r="F39" s="109">
        <f>+G8</f>
        <v>145.55000000000001</v>
      </c>
      <c r="G39" s="109" t="s">
        <v>19</v>
      </c>
      <c r="H39" s="109">
        <f>+J8</f>
        <v>46.153905000000002</v>
      </c>
      <c r="I39" s="109" t="s">
        <v>19</v>
      </c>
      <c r="J39" s="117"/>
      <c r="K39" s="118">
        <f>+M8</f>
        <v>109.16250000000001</v>
      </c>
      <c r="L39" s="119">
        <f>SUM(F39:J39)</f>
        <v>191.70390500000002</v>
      </c>
      <c r="M39" s="120">
        <f>+($C39+($D39/(Budgetark!$J$6)+$E39*3/4))*$F39+N39+O39/(Budgetark!$J$6)</f>
        <v>0</v>
      </c>
      <c r="N39" s="121">
        <f t="shared" si="0"/>
        <v>0</v>
      </c>
      <c r="O39" s="122">
        <f t="shared" si="1"/>
        <v>0</v>
      </c>
    </row>
    <row r="40" spans="1:16" x14ac:dyDescent="0.2">
      <c r="A40" s="95" t="s">
        <v>27</v>
      </c>
      <c r="B40" s="108" t="s">
        <v>21</v>
      </c>
      <c r="C40" s="204"/>
      <c r="D40" s="204"/>
      <c r="E40" s="204"/>
      <c r="F40" s="109">
        <f>+G8</f>
        <v>145.55000000000001</v>
      </c>
      <c r="G40" s="109" t="s">
        <v>19</v>
      </c>
      <c r="H40" s="109">
        <f>+J8</f>
        <v>46.153905000000002</v>
      </c>
      <c r="I40" s="109">
        <f>+K8</f>
        <v>51.117160000000005</v>
      </c>
      <c r="J40" s="117"/>
      <c r="K40" s="118">
        <f>+M8</f>
        <v>109.16250000000001</v>
      </c>
      <c r="L40" s="119">
        <f>SUM(F40:J40)</f>
        <v>242.82106500000003</v>
      </c>
      <c r="M40" s="120">
        <f>+($C40+($D40/(Budgetark!$J$6)+$E40*3/4))*$F40+N40+O40/(Budgetark!$J$6)</f>
        <v>0</v>
      </c>
      <c r="N40" s="121">
        <f t="shared" si="0"/>
        <v>0</v>
      </c>
      <c r="O40" s="122">
        <f t="shared" si="1"/>
        <v>0</v>
      </c>
    </row>
    <row r="41" spans="1:16" x14ac:dyDescent="0.2">
      <c r="A41" s="95" t="s">
        <v>27</v>
      </c>
      <c r="B41" s="108" t="s">
        <v>22</v>
      </c>
      <c r="C41" s="204"/>
      <c r="D41" s="204"/>
      <c r="E41" s="204"/>
      <c r="F41" s="109">
        <f>+G8</f>
        <v>145.55000000000001</v>
      </c>
      <c r="G41" s="109" t="s">
        <v>19</v>
      </c>
      <c r="H41" s="109">
        <f>+J8</f>
        <v>46.153905000000002</v>
      </c>
      <c r="I41" s="109" t="s">
        <v>19</v>
      </c>
      <c r="J41" s="117">
        <f>+L8</f>
        <v>57.142930000000007</v>
      </c>
      <c r="K41" s="118">
        <f>+M8</f>
        <v>109.16250000000001</v>
      </c>
      <c r="L41" s="119">
        <f>SUM(F41:J41)</f>
        <v>248.84683500000003</v>
      </c>
      <c r="M41" s="120">
        <f>+($C41+($D41/(Budgetark!$J$6)+$E41*3/4))*$F41+N41+O41/(Budgetark!$J$6)</f>
        <v>0</v>
      </c>
      <c r="N41" s="121">
        <f t="shared" si="0"/>
        <v>0</v>
      </c>
      <c r="O41" s="122">
        <f t="shared" si="1"/>
        <v>0</v>
      </c>
    </row>
    <row r="42" spans="1:16" x14ac:dyDescent="0.2">
      <c r="A42" s="39"/>
      <c r="B42" s="2"/>
      <c r="C42" s="125"/>
      <c r="D42" s="125"/>
      <c r="E42" s="125"/>
      <c r="F42" s="125" t="s">
        <v>19</v>
      </c>
      <c r="G42" s="125"/>
      <c r="H42" s="125"/>
      <c r="I42" s="125"/>
      <c r="J42" s="125"/>
      <c r="K42" s="126"/>
      <c r="L42" s="127" t="s">
        <v>19</v>
      </c>
      <c r="M42" s="120"/>
      <c r="N42" s="121"/>
      <c r="O42" s="122"/>
    </row>
    <row r="43" spans="1:16" x14ac:dyDescent="0.2">
      <c r="A43" s="95" t="s">
        <v>28</v>
      </c>
      <c r="B43" s="108" t="s">
        <v>18</v>
      </c>
      <c r="C43" s="204"/>
      <c r="D43" s="204"/>
      <c r="E43" s="204"/>
      <c r="F43" s="109">
        <f>+G8</f>
        <v>145.55000000000001</v>
      </c>
      <c r="G43" s="109">
        <f>+I8</f>
        <v>72.775000000000006</v>
      </c>
      <c r="H43" s="109"/>
      <c r="I43" s="109" t="s">
        <v>19</v>
      </c>
      <c r="J43" s="117">
        <f>+L8</f>
        <v>57.142930000000007</v>
      </c>
      <c r="K43" s="118">
        <f>+M8</f>
        <v>109.16250000000001</v>
      </c>
      <c r="L43" s="119">
        <f>SUM(F43:J43)</f>
        <v>275.46793000000002</v>
      </c>
      <c r="M43" s="120">
        <f>+($C43+($D43/(Budgetark!$J$6)+$E43*3/4))*$F43+N43+O43/(Budgetark!$J$6)</f>
        <v>0</v>
      </c>
      <c r="N43" s="121">
        <f t="shared" si="0"/>
        <v>0</v>
      </c>
      <c r="O43" s="122">
        <f t="shared" si="1"/>
        <v>0</v>
      </c>
    </row>
    <row r="44" spans="1:16" x14ac:dyDescent="0.2">
      <c r="A44" s="95" t="s">
        <v>28</v>
      </c>
      <c r="B44" s="108" t="s">
        <v>20</v>
      </c>
      <c r="C44" s="204"/>
      <c r="D44" s="204"/>
      <c r="E44" s="204"/>
      <c r="F44" s="109">
        <f>+G8</f>
        <v>145.55000000000001</v>
      </c>
      <c r="G44" s="109">
        <f>+I8</f>
        <v>72.775000000000006</v>
      </c>
      <c r="H44" s="109"/>
      <c r="I44" s="109"/>
      <c r="J44" s="117"/>
      <c r="K44" s="118">
        <f>+M8</f>
        <v>109.16250000000001</v>
      </c>
      <c r="L44" s="119">
        <f>SUM(F44:J44)</f>
        <v>218.32500000000002</v>
      </c>
      <c r="M44" s="120">
        <f>+($C44+($D44/(Budgetark!$J$6)+$E44*3/4))*$F44+N44+O44/(Budgetark!$J$6)</f>
        <v>0</v>
      </c>
      <c r="N44" s="121">
        <f t="shared" si="0"/>
        <v>0</v>
      </c>
      <c r="O44" s="122">
        <f t="shared" si="1"/>
        <v>0</v>
      </c>
    </row>
    <row r="45" spans="1:16" x14ac:dyDescent="0.2">
      <c r="A45" s="95" t="s">
        <v>28</v>
      </c>
      <c r="B45" s="108" t="s">
        <v>21</v>
      </c>
      <c r="C45" s="204"/>
      <c r="D45" s="204"/>
      <c r="E45" s="204"/>
      <c r="F45" s="109">
        <f>+G8</f>
        <v>145.55000000000001</v>
      </c>
      <c r="G45" s="109">
        <f>+I8</f>
        <v>72.775000000000006</v>
      </c>
      <c r="H45" s="109"/>
      <c r="I45" s="109">
        <f>+K8</f>
        <v>51.117160000000005</v>
      </c>
      <c r="J45" s="117"/>
      <c r="K45" s="118">
        <f>+M8</f>
        <v>109.16250000000001</v>
      </c>
      <c r="L45" s="119">
        <f>SUM(F45:J45)</f>
        <v>269.44216</v>
      </c>
      <c r="M45" s="120">
        <f>+($C45+($D45/(Budgetark!$J$6)+$E45*3/4))*$F45+N45+O45/(Budgetark!$J$6)</f>
        <v>0</v>
      </c>
      <c r="N45" s="121">
        <f t="shared" si="0"/>
        <v>0</v>
      </c>
      <c r="O45" s="122">
        <f t="shared" si="1"/>
        <v>0</v>
      </c>
      <c r="P45" s="128"/>
    </row>
    <row r="46" spans="1:16" ht="13.15" thickBot="1" x14ac:dyDescent="0.25">
      <c r="A46" s="95" t="s">
        <v>28</v>
      </c>
      <c r="B46" s="108" t="s">
        <v>22</v>
      </c>
      <c r="C46" s="204"/>
      <c r="D46" s="204"/>
      <c r="E46" s="204"/>
      <c r="F46" s="109">
        <f>+G8</f>
        <v>145.55000000000001</v>
      </c>
      <c r="G46" s="109">
        <f>+I8</f>
        <v>72.775000000000006</v>
      </c>
      <c r="H46" s="109"/>
      <c r="I46" s="109" t="s">
        <v>19</v>
      </c>
      <c r="J46" s="117">
        <f>+L8</f>
        <v>57.142930000000007</v>
      </c>
      <c r="K46" s="130">
        <f>+M8</f>
        <v>109.16250000000001</v>
      </c>
      <c r="L46" s="131">
        <f>SUM(F46:J46)</f>
        <v>275.46793000000002</v>
      </c>
      <c r="M46" s="120">
        <f>+($C46+($D46/(Budgetark!$J$6)+$E46*3/4))*$F46+N46+O46/(Budgetark!$J$6)</f>
        <v>0</v>
      </c>
      <c r="N46" s="121">
        <f t="shared" si="0"/>
        <v>0</v>
      </c>
      <c r="O46" s="122">
        <f t="shared" si="1"/>
        <v>0</v>
      </c>
    </row>
    <row r="47" spans="1:16" x14ac:dyDescent="0.2">
      <c r="A47" s="132" t="s">
        <v>0</v>
      </c>
      <c r="B47" s="133"/>
      <c r="C47" s="134">
        <f>SUM(C12:C46)</f>
        <v>0</v>
      </c>
      <c r="D47" s="134">
        <f>SUM(D12:D46)</f>
        <v>0</v>
      </c>
      <c r="E47" s="134">
        <f>SUM(E12:E46)</f>
        <v>0</v>
      </c>
      <c r="F47" s="125">
        <f>C47+E47+D47/(Budgetark!J6)</f>
        <v>0</v>
      </c>
      <c r="G47" s="125">
        <f>C43+C44+C45+C46+(D43+D44+D45+D46)/(Budgetark!J6)</f>
        <v>0</v>
      </c>
      <c r="H47" s="135">
        <f>C39+C40+C41+(D39+D40+D41)/(Budgetark!J6)</f>
        <v>0</v>
      </c>
      <c r="I47" s="135">
        <f>C14+C24+C29+C34+C40+C45+C19+(D14+D24+D29+D34+D40+D45+D19)/(Budgetark!J6)</f>
        <v>0</v>
      </c>
      <c r="J47" s="135">
        <f>C12+(D12+D15+D17+D20+D22+D25+D27+D30+D32+D35+D37+D41+D43+D46)/(Budgetark!J6)+C15+C17+C20+C22+C25+C27+C30+C32+C35+C37+C41+C43+C46</f>
        <v>0</v>
      </c>
      <c r="K47" s="125"/>
      <c r="L47" s="125"/>
      <c r="M47" s="11"/>
      <c r="N47" s="128">
        <f>SUM(N12:N46)</f>
        <v>0</v>
      </c>
      <c r="O47" s="128">
        <f>SUM(O12:O46)</f>
        <v>0</v>
      </c>
      <c r="P47" s="128"/>
    </row>
    <row r="48" spans="1:16" x14ac:dyDescent="0.2">
      <c r="A48" s="136"/>
      <c r="B48" s="2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1"/>
      <c r="N48" s="124"/>
    </row>
    <row r="49" spans="1:21" x14ac:dyDescent="0.2">
      <c r="A49" s="39"/>
      <c r="B49" s="2"/>
      <c r="C49" s="125"/>
      <c r="D49" s="125"/>
      <c r="E49" s="125"/>
      <c r="F49" s="125" t="s">
        <v>29</v>
      </c>
      <c r="G49" s="125" t="s">
        <v>30</v>
      </c>
      <c r="H49" s="125"/>
      <c r="I49" s="125"/>
      <c r="J49" s="125"/>
      <c r="K49" s="125"/>
      <c r="L49" s="125"/>
      <c r="M49" s="11"/>
    </row>
    <row r="50" spans="1:21" ht="13.15" x14ac:dyDescent="0.2">
      <c r="A50" s="137" t="s">
        <v>71</v>
      </c>
      <c r="B50" s="138"/>
      <c r="C50" s="139"/>
      <c r="D50" s="139"/>
      <c r="E50" s="80">
        <f>(C47+E47)/7+D47/(E6-C6+1)</f>
        <v>0</v>
      </c>
      <c r="F50" s="140">
        <v>10.5</v>
      </c>
      <c r="G50" s="109">
        <f>G8*Forudsætninger!I44</f>
        <v>72.775000000000006</v>
      </c>
      <c r="H50" s="141"/>
      <c r="I50" s="110"/>
      <c r="J50" s="125"/>
      <c r="K50" s="142" t="s">
        <v>31</v>
      </c>
      <c r="L50" s="134"/>
      <c r="M50" s="83">
        <f>E50*F50*G50/(Budgetark!J7)</f>
        <v>0</v>
      </c>
      <c r="Q50" s="143"/>
    </row>
    <row r="51" spans="1:21" x14ac:dyDescent="0.2">
      <c r="A51" s="39"/>
      <c r="B51" s="2"/>
      <c r="C51" s="110"/>
      <c r="D51" s="110"/>
      <c r="E51" s="110" t="s">
        <v>32</v>
      </c>
      <c r="F51" s="144" t="s">
        <v>33</v>
      </c>
      <c r="G51" s="110"/>
      <c r="H51" s="110"/>
      <c r="I51" s="110"/>
      <c r="J51" s="110"/>
      <c r="K51" s="110"/>
      <c r="L51" s="110"/>
      <c r="M51" s="145"/>
      <c r="Q51" s="143"/>
    </row>
    <row r="52" spans="1:21" x14ac:dyDescent="0.2">
      <c r="A52" s="137" t="s">
        <v>90</v>
      </c>
      <c r="B52" s="138"/>
      <c r="C52" s="139"/>
      <c r="D52" s="139"/>
      <c r="E52" s="204">
        <f>+ROUNDUP(($F$47*52.1428571428571)/Forudsætninger!$F$86,0)</f>
        <v>0</v>
      </c>
      <c r="F52" s="205">
        <v>0</v>
      </c>
      <c r="G52" s="139">
        <f>+G8</f>
        <v>145.55000000000001</v>
      </c>
      <c r="H52" s="110"/>
      <c r="I52" s="110"/>
      <c r="J52" s="125"/>
      <c r="K52" s="142" t="s">
        <v>31</v>
      </c>
      <c r="L52" s="134"/>
      <c r="M52" s="146">
        <f>+(E52*F52*G52)/(Budgetark!J7)</f>
        <v>0</v>
      </c>
    </row>
    <row r="53" spans="1:21" x14ac:dyDescent="0.2">
      <c r="A53" s="39"/>
      <c r="B53" s="2"/>
      <c r="C53" s="110"/>
      <c r="D53" s="110"/>
      <c r="E53" s="110"/>
      <c r="F53" s="144"/>
      <c r="G53" s="147"/>
      <c r="H53" s="110"/>
      <c r="I53" s="110"/>
      <c r="J53" s="125"/>
      <c r="K53" s="125"/>
      <c r="L53" s="125"/>
      <c r="M53" s="88"/>
    </row>
    <row r="54" spans="1:21" x14ac:dyDescent="0.2">
      <c r="A54" s="137" t="s">
        <v>89</v>
      </c>
      <c r="B54" s="138"/>
      <c r="C54" s="139"/>
      <c r="D54" s="139"/>
      <c r="E54" s="204">
        <f>+ROUNDUP(E52*0.3,0)</f>
        <v>0</v>
      </c>
      <c r="F54" s="205">
        <v>0</v>
      </c>
      <c r="G54" s="139" t="e">
        <f>+SUM(M12:M46)/F47</f>
        <v>#DIV/0!</v>
      </c>
      <c r="H54" s="110"/>
      <c r="I54" s="110"/>
      <c r="J54" s="125"/>
      <c r="K54" s="142" t="s">
        <v>31</v>
      </c>
      <c r="L54" s="134"/>
      <c r="M54" s="146" t="e">
        <f>+E54*F54*G54/(Budgetark!J7)</f>
        <v>#DIV/0!</v>
      </c>
    </row>
    <row r="55" spans="1:21" x14ac:dyDescent="0.2">
      <c r="A55" s="39"/>
      <c r="B55" s="2"/>
      <c r="C55" s="110"/>
      <c r="D55" s="110"/>
      <c r="E55" s="110" t="s">
        <v>1</v>
      </c>
      <c r="F55" s="110" t="s">
        <v>289</v>
      </c>
      <c r="G55" s="147"/>
      <c r="H55" s="110"/>
      <c r="I55" s="110"/>
      <c r="J55" s="125"/>
      <c r="K55" s="125"/>
      <c r="L55" s="125"/>
      <c r="M55" s="88"/>
    </row>
    <row r="56" spans="1:21" x14ac:dyDescent="0.2">
      <c r="A56" s="137" t="s">
        <v>34</v>
      </c>
      <c r="B56" s="138"/>
      <c r="C56" s="139"/>
      <c r="D56" s="139"/>
      <c r="E56" s="204">
        <v>0</v>
      </c>
      <c r="F56" s="109">
        <f>(F47-E47/4)*Budgetark!J6+(E52*F52+E54*F54)*Budgetark!J6/Budgetark!J7</f>
        <v>0</v>
      </c>
      <c r="G56" s="148"/>
      <c r="H56" s="110"/>
      <c r="I56" s="110"/>
      <c r="J56" s="125"/>
      <c r="K56" s="142" t="s">
        <v>31</v>
      </c>
      <c r="L56" s="134"/>
      <c r="M56" s="88">
        <f>(E56*F56)/(Budgetark!J6)</f>
        <v>0</v>
      </c>
    </row>
    <row r="57" spans="1:21" x14ac:dyDescent="0.2">
      <c r="A57" s="39"/>
      <c r="B57" s="2"/>
      <c r="C57" s="110"/>
      <c r="D57" s="110"/>
      <c r="E57" s="110" t="s">
        <v>36</v>
      </c>
      <c r="F57" s="144"/>
      <c r="G57" s="110"/>
      <c r="H57" s="110"/>
      <c r="I57" s="110"/>
      <c r="J57" s="110"/>
      <c r="K57" s="110"/>
      <c r="L57" s="110"/>
      <c r="M57" s="149"/>
    </row>
    <row r="58" spans="1:21" x14ac:dyDescent="0.2">
      <c r="A58" s="137" t="s">
        <v>35</v>
      </c>
      <c r="B58" s="138"/>
      <c r="C58" s="139"/>
      <c r="D58" s="139"/>
      <c r="E58" s="150" t="e">
        <f>SUM(M12:M52)+((M62+M63+M64)/3)+M56+M54</f>
        <v>#DIV/0!</v>
      </c>
      <c r="F58" s="148">
        <f>+Forudsætninger!I48</f>
        <v>0.125</v>
      </c>
      <c r="G58" s="148"/>
      <c r="H58" s="110"/>
      <c r="I58" s="110"/>
      <c r="J58" s="125"/>
      <c r="K58" s="142" t="s">
        <v>31</v>
      </c>
      <c r="L58" s="134"/>
      <c r="M58" s="88" t="e">
        <f>E58*F58</f>
        <v>#DIV/0!</v>
      </c>
      <c r="P58" s="124"/>
    </row>
    <row r="59" spans="1:21" x14ac:dyDescent="0.2">
      <c r="A59" s="39"/>
      <c r="B59" s="2"/>
      <c r="C59" s="110"/>
      <c r="D59" s="110"/>
      <c r="E59" s="110" t="s">
        <v>36</v>
      </c>
      <c r="G59" s="147"/>
      <c r="H59" s="110"/>
      <c r="I59" s="110"/>
      <c r="J59" s="125"/>
      <c r="K59" s="125"/>
      <c r="L59" s="125"/>
      <c r="M59" s="88"/>
    </row>
    <row r="60" spans="1:21" x14ac:dyDescent="0.2">
      <c r="A60" s="137" t="s">
        <v>225</v>
      </c>
      <c r="B60" s="138"/>
      <c r="C60" s="139"/>
      <c r="D60" s="206" t="s">
        <v>286</v>
      </c>
      <c r="E60" s="150" t="e">
        <f>E58</f>
        <v>#DIV/0!</v>
      </c>
      <c r="F60" s="148">
        <f>+IF(D60="Ja",Forudsætninger!I49,0)</f>
        <v>0</v>
      </c>
      <c r="G60" s="148"/>
      <c r="H60" s="110"/>
      <c r="I60" s="110"/>
      <c r="J60" s="125"/>
      <c r="K60" s="142" t="s">
        <v>31</v>
      </c>
      <c r="L60" s="134"/>
      <c r="M60" s="88" t="e">
        <f>E60*F60</f>
        <v>#DIV/0!</v>
      </c>
      <c r="P60" s="151"/>
    </row>
    <row r="61" spans="1:21" x14ac:dyDescent="0.2">
      <c r="A61" s="39"/>
      <c r="B61" s="2"/>
      <c r="C61" s="110"/>
      <c r="D61" s="110"/>
      <c r="E61" s="110" t="s">
        <v>36</v>
      </c>
      <c r="F61" s="144" t="s">
        <v>38</v>
      </c>
      <c r="G61" s="110"/>
      <c r="H61" s="110"/>
      <c r="I61" s="110"/>
      <c r="J61" s="125"/>
      <c r="K61" s="125"/>
      <c r="L61" s="125"/>
      <c r="M61" s="88"/>
    </row>
    <row r="62" spans="1:21" ht="21.3" x14ac:dyDescent="0.2">
      <c r="A62" s="137" t="s">
        <v>233</v>
      </c>
      <c r="B62" s="138"/>
      <c r="C62" s="139"/>
      <c r="D62" s="218" t="s">
        <v>234</v>
      </c>
      <c r="E62" s="152">
        <f>(F56/Budgetark!J6)*G8</f>
        <v>0</v>
      </c>
      <c r="F62" s="148">
        <f>+IF(D62="Forhøjet pensionssats",Forudsætninger!I52,Forudsætninger!B52)</f>
        <v>0.13</v>
      </c>
      <c r="G62" s="109"/>
      <c r="H62" s="110"/>
      <c r="I62" s="110"/>
      <c r="J62" s="125"/>
      <c r="K62" s="142" t="s">
        <v>31</v>
      </c>
      <c r="L62" s="134"/>
      <c r="M62" s="146">
        <f>E62*F62</f>
        <v>0</v>
      </c>
      <c r="P62" s="151"/>
    </row>
    <row r="63" spans="1:21" x14ac:dyDescent="0.2">
      <c r="A63" s="137" t="s">
        <v>40</v>
      </c>
      <c r="B63" s="138"/>
      <c r="C63" s="139"/>
      <c r="D63" s="139"/>
      <c r="E63" s="152">
        <f>I47*K8+J47*L8</f>
        <v>0</v>
      </c>
      <c r="F63" s="148">
        <f>+Forudsætninger!I53</f>
        <v>7.8200000000000006E-2</v>
      </c>
      <c r="G63" s="109"/>
      <c r="H63" s="110"/>
      <c r="I63" s="110"/>
      <c r="J63" s="125"/>
      <c r="K63" s="142" t="s">
        <v>31</v>
      </c>
      <c r="L63" s="134"/>
      <c r="M63" s="146">
        <f>E63*F63</f>
        <v>0</v>
      </c>
      <c r="N63" s="153"/>
      <c r="P63" s="153"/>
      <c r="Q63" s="153"/>
      <c r="R63" s="153"/>
      <c r="S63" s="153"/>
      <c r="T63" s="153"/>
      <c r="U63" s="153"/>
    </row>
    <row r="64" spans="1:21" x14ac:dyDescent="0.2">
      <c r="A64" s="137" t="s">
        <v>96</v>
      </c>
      <c r="B64" s="138"/>
      <c r="C64" s="139"/>
      <c r="D64" s="139"/>
      <c r="E64" s="152">
        <f>+G47*I8+H47*J8+M50</f>
        <v>0</v>
      </c>
      <c r="F64" s="148">
        <f>+Forudsætninger!I54</f>
        <v>7.2300000000000003E-2</v>
      </c>
      <c r="G64" s="109"/>
      <c r="H64" s="110"/>
      <c r="I64" s="110"/>
      <c r="J64" s="125"/>
      <c r="K64" s="142" t="s">
        <v>31</v>
      </c>
      <c r="L64" s="134"/>
      <c r="M64" s="146">
        <f>E64*F64</f>
        <v>0</v>
      </c>
      <c r="N64" s="153"/>
      <c r="P64" s="153"/>
      <c r="Q64" s="153"/>
      <c r="R64" s="153"/>
      <c r="S64" s="153"/>
      <c r="T64" s="153"/>
      <c r="U64" s="153"/>
    </row>
    <row r="65" spans="1:13" x14ac:dyDescent="0.2">
      <c r="A65" s="154"/>
      <c r="B65" s="133"/>
      <c r="C65" s="155"/>
      <c r="D65" s="155"/>
      <c r="E65" s="110" t="s">
        <v>2</v>
      </c>
      <c r="F65" s="110" t="s">
        <v>80</v>
      </c>
      <c r="G65" s="125" t="s">
        <v>46</v>
      </c>
      <c r="K65" s="125"/>
      <c r="L65" s="125"/>
      <c r="M65" s="156"/>
    </row>
    <row r="66" spans="1:13" x14ac:dyDescent="0.2">
      <c r="A66" s="137" t="s">
        <v>203</v>
      </c>
      <c r="B66" s="157"/>
      <c r="C66" s="158"/>
      <c r="D66" s="158"/>
      <c r="E66" s="159">
        <f>(F47*Budgetark!J7+$E$52*$F$52+$E$54*$F$54)/Forudsætninger!$F$86*Forudsætninger!$F$81/(Budgetark!J7)</f>
        <v>0</v>
      </c>
      <c r="F66" s="159">
        <f>(F47*Budgetark!J7+$E$52*$F$52+$E$54*$F$54)/Forudsætninger!$F$86*(Forudsætninger!$F$83+Forudsætninger!$F$84)/(Budgetark!J7)</f>
        <v>0</v>
      </c>
      <c r="G66" s="213">
        <f>(F47*Budgetark!J7+$E$52*$F$52+$E$54*$F$54)/Forudsætninger!$F$86*Forudsætninger!$F$82/(Budgetark!J7)</f>
        <v>0</v>
      </c>
      <c r="K66" s="142" t="s">
        <v>31</v>
      </c>
      <c r="L66" s="134"/>
      <c r="M66" s="83">
        <f>E66+F66+G66</f>
        <v>0</v>
      </c>
    </row>
    <row r="67" spans="1:13" x14ac:dyDescent="0.2">
      <c r="A67" s="136"/>
      <c r="B67" s="2"/>
      <c r="C67" s="110"/>
      <c r="D67" s="110"/>
      <c r="E67" s="110" t="s">
        <v>156</v>
      </c>
      <c r="F67" s="110" t="s">
        <v>267</v>
      </c>
      <c r="G67" s="147"/>
      <c r="H67" s="162"/>
      <c r="I67" s="162"/>
      <c r="J67" s="162"/>
      <c r="K67" s="125"/>
      <c r="L67" s="125"/>
      <c r="M67" s="88"/>
    </row>
    <row r="68" spans="1:13" x14ac:dyDescent="0.2">
      <c r="A68" s="163" t="s">
        <v>271</v>
      </c>
      <c r="B68" s="138"/>
      <c r="C68" s="139"/>
      <c r="D68" s="109"/>
      <c r="E68" s="80">
        <f>Forudsætninger!D100</f>
        <v>22</v>
      </c>
      <c r="F68" s="204">
        <f>+ROUNDUP(($F$47*52.1428571428571)/Forudsætninger!$F$86,0)</f>
        <v>0</v>
      </c>
      <c r="G68" s="148"/>
      <c r="H68" s="162"/>
      <c r="I68" s="162"/>
      <c r="J68" s="162"/>
      <c r="K68" s="142" t="s">
        <v>31</v>
      </c>
      <c r="L68" s="134"/>
      <c r="M68" s="83">
        <f>E68*F68/(Budgetark!J7)</f>
        <v>0</v>
      </c>
    </row>
    <row r="69" spans="1:13" x14ac:dyDescent="0.2">
      <c r="A69" s="39"/>
      <c r="B69" s="2"/>
      <c r="C69" s="110"/>
      <c r="D69" s="110"/>
      <c r="E69" s="110"/>
      <c r="F69" s="144"/>
      <c r="G69" s="110" t="s">
        <v>82</v>
      </c>
      <c r="H69" s="110"/>
      <c r="I69" s="110"/>
      <c r="J69" s="110"/>
      <c r="K69" s="110"/>
      <c r="L69" s="110"/>
      <c r="M69" s="11"/>
    </row>
    <row r="70" spans="1:13" x14ac:dyDescent="0.2">
      <c r="A70" s="163" t="s">
        <v>205</v>
      </c>
      <c r="B70" s="166"/>
      <c r="C70" s="167"/>
      <c r="D70" s="167"/>
      <c r="E70" s="214"/>
      <c r="F70" s="185"/>
      <c r="G70" s="139">
        <f>+Forudsætninger!I64/100</f>
        <v>1.208</v>
      </c>
      <c r="H70" s="178"/>
      <c r="I70" s="178"/>
      <c r="J70" s="178"/>
      <c r="K70" s="142" t="s">
        <v>31</v>
      </c>
      <c r="L70" s="134"/>
      <c r="M70" s="83">
        <f>($F$47+($E$52*$F$52+$E$54*$F$54)/Budgetark!$J$7)*G70</f>
        <v>0</v>
      </c>
    </row>
    <row r="71" spans="1:13" ht="22.55" customHeight="1" x14ac:dyDescent="0.2">
      <c r="A71" s="39"/>
      <c r="B71" s="2"/>
      <c r="C71" s="110"/>
      <c r="D71" s="110"/>
      <c r="E71" s="125" t="s">
        <v>156</v>
      </c>
      <c r="F71" s="164" t="s">
        <v>158</v>
      </c>
      <c r="G71" s="165" t="s">
        <v>157</v>
      </c>
      <c r="H71" s="110"/>
      <c r="I71" s="110"/>
      <c r="J71" s="110"/>
      <c r="K71" s="110"/>
      <c r="L71" s="110"/>
      <c r="M71" s="11"/>
    </row>
    <row r="72" spans="1:13" x14ac:dyDescent="0.2">
      <c r="A72" s="163" t="s">
        <v>268</v>
      </c>
      <c r="B72" s="166"/>
      <c r="C72" s="167"/>
      <c r="D72" s="139"/>
      <c r="E72" s="80">
        <f>Forudsætninger!D65*G8</f>
        <v>72.775000000000006</v>
      </c>
      <c r="F72" s="204">
        <v>0</v>
      </c>
      <c r="G72" s="207">
        <v>0</v>
      </c>
      <c r="H72" s="168"/>
      <c r="I72" s="168"/>
      <c r="J72" s="168"/>
      <c r="K72" s="142" t="s">
        <v>31</v>
      </c>
      <c r="L72" s="169"/>
      <c r="M72" s="83">
        <f>+E72*F72*G72/(Budgetark!J6)</f>
        <v>0</v>
      </c>
    </row>
    <row r="73" spans="1:13" x14ac:dyDescent="0.2">
      <c r="A73" s="39"/>
      <c r="B73" s="2"/>
      <c r="C73" s="110"/>
      <c r="D73" s="110"/>
      <c r="E73" s="125" t="s">
        <v>156</v>
      </c>
      <c r="F73" s="144"/>
      <c r="G73" s="165"/>
      <c r="H73" s="110"/>
      <c r="I73" s="110"/>
      <c r="J73" s="110"/>
      <c r="K73" s="110"/>
      <c r="L73" s="110"/>
      <c r="M73" s="11"/>
    </row>
    <row r="74" spans="1:13" x14ac:dyDescent="0.2">
      <c r="A74" s="163" t="s">
        <v>269</v>
      </c>
      <c r="B74" s="166"/>
      <c r="C74" s="167"/>
      <c r="D74" s="139"/>
      <c r="E74" s="80">
        <f>+Forudsætninger!K69</f>
        <v>452.48</v>
      </c>
      <c r="F74" s="109"/>
      <c r="G74" s="207">
        <v>0</v>
      </c>
      <c r="H74" s="168"/>
      <c r="I74" s="168"/>
      <c r="J74" s="168"/>
      <c r="K74" s="142" t="s">
        <v>31</v>
      </c>
      <c r="L74" s="169"/>
      <c r="M74" s="83">
        <f>+E74*G74/(Budgetark!J6)</f>
        <v>0</v>
      </c>
    </row>
    <row r="75" spans="1:13" ht="21.3" x14ac:dyDescent="0.2">
      <c r="A75" s="39"/>
      <c r="B75" s="2"/>
      <c r="C75" s="110"/>
      <c r="D75" s="110"/>
      <c r="E75" s="125" t="s">
        <v>156</v>
      </c>
      <c r="F75" s="144" t="s">
        <v>224</v>
      </c>
      <c r="G75" s="165" t="s">
        <v>160</v>
      </c>
      <c r="H75" s="110"/>
      <c r="I75" s="110"/>
      <c r="J75" s="110"/>
      <c r="K75" s="110"/>
      <c r="L75" s="110"/>
      <c r="M75" s="11"/>
    </row>
    <row r="76" spans="1:13" x14ac:dyDescent="0.2">
      <c r="A76" s="163" t="s">
        <v>270</v>
      </c>
      <c r="B76" s="166"/>
      <c r="C76" s="167"/>
      <c r="D76" s="139"/>
      <c r="E76" s="80">
        <f>+G8*Forudsætninger!D73</f>
        <v>72.775000000000006</v>
      </c>
      <c r="F76" s="204">
        <v>0</v>
      </c>
      <c r="G76" s="207">
        <v>0</v>
      </c>
      <c r="H76" s="168"/>
      <c r="I76" s="168"/>
      <c r="J76" s="168"/>
      <c r="K76" s="142" t="s">
        <v>31</v>
      </c>
      <c r="L76" s="169"/>
      <c r="M76" s="83">
        <f>+E76*F76*G76/(Budgetark!J6)</f>
        <v>0</v>
      </c>
    </row>
    <row r="77" spans="1:13" ht="23.95" customHeight="1" x14ac:dyDescent="0.2">
      <c r="A77" s="39"/>
      <c r="B77" s="2"/>
      <c r="C77" s="110"/>
      <c r="D77" s="110"/>
      <c r="E77" s="125" t="s">
        <v>178</v>
      </c>
      <c r="F77" s="164" t="s">
        <v>177</v>
      </c>
      <c r="G77" s="110"/>
      <c r="H77" s="110"/>
      <c r="I77" s="110"/>
      <c r="J77" s="110"/>
      <c r="K77" s="110"/>
      <c r="L77" s="110"/>
      <c r="M77" s="11"/>
    </row>
    <row r="78" spans="1:13" x14ac:dyDescent="0.2">
      <c r="A78" s="163" t="s">
        <v>114</v>
      </c>
      <c r="B78" s="166"/>
      <c r="C78" s="167"/>
      <c r="D78" s="139"/>
      <c r="E78" s="80">
        <f>+Forudsætninger!F85</f>
        <v>295</v>
      </c>
      <c r="F78" s="170">
        <f>(F47*Budgetark!J7+$E$52*$F$52+$E$54*$F$54)/Forudsætninger!F86</f>
        <v>0</v>
      </c>
      <c r="G78" s="170"/>
      <c r="H78" s="168"/>
      <c r="I78" s="168"/>
      <c r="J78" s="168"/>
      <c r="K78" s="142" t="s">
        <v>31</v>
      </c>
      <c r="L78" s="169"/>
      <c r="M78" s="83">
        <f>+E78*F78/(Budgetark!J7)</f>
        <v>0</v>
      </c>
    </row>
    <row r="79" spans="1:13" ht="13.15" thickBot="1" x14ac:dyDescent="0.25">
      <c r="A79" s="39"/>
      <c r="B79" s="2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1"/>
    </row>
    <row r="80" spans="1:13" ht="14.25" customHeight="1" thickBot="1" x14ac:dyDescent="0.25">
      <c r="A80" s="171" t="s">
        <v>43</v>
      </c>
      <c r="B80" s="172"/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3" t="e">
        <f>SUM(M12:M79)</f>
        <v>#DIV/0!</v>
      </c>
    </row>
    <row r="82" spans="1:17" x14ac:dyDescent="0.2">
      <c r="A82" s="2" t="s">
        <v>44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174" t="e">
        <f>M80*Budgetark!J6</f>
        <v>#DIV/0!</v>
      </c>
    </row>
    <row r="83" spans="1:17" x14ac:dyDescent="0.2">
      <c r="A83" s="175" t="s">
        <v>45</v>
      </c>
      <c r="B83" s="175"/>
      <c r="C83" s="366" t="s">
        <v>438</v>
      </c>
      <c r="D83" s="367"/>
      <c r="E83" s="208"/>
      <c r="F83" s="175"/>
      <c r="G83" s="175"/>
      <c r="H83" s="175"/>
      <c r="I83" s="175"/>
      <c r="J83" s="175"/>
      <c r="K83" s="175"/>
      <c r="L83" s="175"/>
      <c r="M83" s="176" t="e">
        <f>M82*(1+IF(E83&gt;0,E83,IF(AND(F8=11,Forudsætninger!F93*100&gt;VLOOKUP(YEAR(C6),Tabel1[],2,FALSE)),Forudsætninger!F93,(VLOOKUP(YEAR(C6),Tabel1[],2,FALSE))/100)))</f>
        <v>#DIV/0!</v>
      </c>
      <c r="P83" s="293"/>
      <c r="Q83" s="289"/>
    </row>
    <row r="84" spans="1:17" x14ac:dyDescent="0.2">
      <c r="A84" s="2" t="s">
        <v>62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177" t="e">
        <f>M82/(Budgetark!J6/(Budgetark!J7/12))</f>
        <v>#DIV/0!</v>
      </c>
    </row>
    <row r="85" spans="1:17" x14ac:dyDescent="0.2">
      <c r="A85" s="175" t="s">
        <v>63</v>
      </c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6" t="e">
        <f>M83/(Budgetark!J6/(Budgetark!J7/12))</f>
        <v>#DIV/0!</v>
      </c>
      <c r="N85" s="128"/>
    </row>
    <row r="86" spans="1:17" x14ac:dyDescent="0.2">
      <c r="A86" s="2" t="s">
        <v>48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178" t="e">
        <f>M82/(Budgetark!$J$16-Budgetark!$J$15)</f>
        <v>#DIV/0!</v>
      </c>
      <c r="N86" s="128"/>
    </row>
    <row r="87" spans="1:17" x14ac:dyDescent="0.2">
      <c r="A87" s="175" t="s">
        <v>65</v>
      </c>
      <c r="B87" s="179"/>
      <c r="C87" s="179"/>
      <c r="D87" s="179"/>
      <c r="E87" s="179"/>
      <c r="F87" s="179"/>
      <c r="G87" s="179"/>
      <c r="H87" s="179"/>
      <c r="I87" s="180"/>
      <c r="J87" s="179"/>
      <c r="K87" s="179"/>
      <c r="L87" s="179"/>
      <c r="M87" s="304" t="e">
        <f>M83/(Budgetark!$J$16-Budgetark!$J$15)</f>
        <v>#DIV/0!</v>
      </c>
    </row>
    <row r="88" spans="1:17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181"/>
      <c r="N88" s="128"/>
    </row>
    <row r="89" spans="1:17" x14ac:dyDescent="0.2">
      <c r="A89" s="2" t="s">
        <v>266</v>
      </c>
      <c r="B89" s="2"/>
      <c r="C89" s="2"/>
      <c r="D89" s="2"/>
      <c r="E89" s="182">
        <f>Administration!D9</f>
        <v>0</v>
      </c>
      <c r="F89" s="2"/>
      <c r="G89" s="2"/>
      <c r="H89" s="2"/>
      <c r="I89" s="2"/>
      <c r="J89" s="2"/>
      <c r="K89" s="2"/>
      <c r="L89" s="2"/>
      <c r="M89" s="181" t="e">
        <f>+M83*E89</f>
        <v>#DIV/0!</v>
      </c>
      <c r="N89" s="128"/>
    </row>
    <row r="90" spans="1:17" x14ac:dyDescent="0.2">
      <c r="A90" s="175" t="s">
        <v>147</v>
      </c>
      <c r="B90" s="179"/>
      <c r="C90" s="179"/>
      <c r="D90" s="179"/>
      <c r="E90" s="179"/>
      <c r="F90" s="179"/>
      <c r="G90" s="179"/>
      <c r="H90" s="179"/>
      <c r="I90" s="180"/>
      <c r="J90" s="179"/>
      <c r="K90" s="179"/>
      <c r="L90" s="179"/>
      <c r="M90" s="183" t="e">
        <f>+M89/(Budgetark!J6/(Budgetark!J7/12))</f>
        <v>#DIV/0!</v>
      </c>
    </row>
    <row r="91" spans="1:17" x14ac:dyDescent="0.2">
      <c r="A91" s="2"/>
      <c r="I91" s="128"/>
      <c r="M91" s="184"/>
    </row>
    <row r="92" spans="1:17" ht="21.3" x14ac:dyDescent="0.2">
      <c r="A92" s="3" t="s">
        <v>148</v>
      </c>
      <c r="D92" s="24" t="s">
        <v>422</v>
      </c>
      <c r="F92" s="24"/>
      <c r="G92" s="110" t="s">
        <v>82</v>
      </c>
    </row>
    <row r="93" spans="1:17" x14ac:dyDescent="0.2">
      <c r="A93" s="137" t="s">
        <v>108</v>
      </c>
      <c r="B93" s="138"/>
      <c r="C93" s="139"/>
      <c r="D93" s="204" t="s">
        <v>424</v>
      </c>
      <c r="E93" s="80">
        <f>F47*Budgetark!J6+($E$52*$F$52+$E$54*$F$54+$E$97*$F$97)*Budgetark!J6/Budgetark!J7</f>
        <v>0</v>
      </c>
      <c r="F93" s="170"/>
      <c r="G93" s="170">
        <f>+Forudsætninger!E97</f>
        <v>0.82905982905982911</v>
      </c>
      <c r="H93" s="110"/>
      <c r="I93" s="110"/>
      <c r="J93" s="125"/>
      <c r="K93" s="142" t="s">
        <v>84</v>
      </c>
      <c r="L93" s="134"/>
      <c r="M93" s="83">
        <f>IF(D93="Nej",0,E93*G93)</f>
        <v>0</v>
      </c>
    </row>
    <row r="94" spans="1:17" x14ac:dyDescent="0.2">
      <c r="A94" s="39"/>
      <c r="B94" s="2"/>
      <c r="C94" s="110"/>
      <c r="D94" s="144"/>
      <c r="E94" s="110"/>
      <c r="F94" s="144"/>
      <c r="G94" s="110" t="str">
        <f>+IF(Forudsætninger!$D$111=0,"kr/time","kr/år")</f>
        <v>kr/time</v>
      </c>
      <c r="H94" s="110"/>
      <c r="I94" s="110"/>
      <c r="J94" s="110"/>
      <c r="K94" s="110"/>
      <c r="L94" s="110"/>
      <c r="M94" s="11"/>
    </row>
    <row r="95" spans="1:17" x14ac:dyDescent="0.2">
      <c r="A95" s="163" t="s">
        <v>83</v>
      </c>
      <c r="B95" s="166"/>
      <c r="C95" s="167"/>
      <c r="D95" s="204" t="s">
        <v>424</v>
      </c>
      <c r="E95" s="80">
        <f>IF(Forudsætninger!E111&gt;0,E93,)</f>
        <v>0</v>
      </c>
      <c r="F95" s="170"/>
      <c r="G95" s="215">
        <f>+IF(Forudsætninger!D111&gt;0,Forudsætninger!D111,Forudsætninger!E111)</f>
        <v>0</v>
      </c>
      <c r="H95" s="168"/>
      <c r="I95" s="168"/>
      <c r="J95" s="168"/>
      <c r="K95" s="142" t="s">
        <v>84</v>
      </c>
      <c r="L95" s="169"/>
      <c r="M95" s="83">
        <f>IF(D95="Nej",0,IF(Forudsætninger!D111&gt;0,Forudsætninger!D111,E95*G95))</f>
        <v>0</v>
      </c>
    </row>
    <row r="96" spans="1:17" x14ac:dyDescent="0.2">
      <c r="A96" s="39"/>
      <c r="B96" s="2"/>
      <c r="C96" s="110"/>
      <c r="D96" s="110"/>
      <c r="E96" s="110" t="s">
        <v>32</v>
      </c>
      <c r="F96" s="144" t="s">
        <v>33</v>
      </c>
      <c r="G96" s="110"/>
      <c r="H96" s="110"/>
      <c r="I96" s="110"/>
      <c r="J96" s="110"/>
      <c r="K96" s="110"/>
      <c r="L96" s="110"/>
      <c r="M96" s="11"/>
    </row>
    <row r="97" spans="1:13" x14ac:dyDescent="0.2">
      <c r="A97" s="163" t="s">
        <v>235</v>
      </c>
      <c r="B97" s="166"/>
      <c r="C97" s="167"/>
      <c r="D97" s="139"/>
      <c r="E97" s="80">
        <f>+E52</f>
        <v>0</v>
      </c>
      <c r="F97" s="204">
        <v>0</v>
      </c>
      <c r="G97" s="109">
        <f>+G8*(1+Forudsætninger!B48)+G8*Forudsætninger!B52+G70+SUM(Forudsætninger!F81:F84)/Forudsætninger!F86</f>
        <v>188.04205341880342</v>
      </c>
      <c r="H97" s="168"/>
      <c r="I97" s="168"/>
      <c r="J97" s="168"/>
      <c r="K97" s="142" t="s">
        <v>84</v>
      </c>
      <c r="L97" s="169"/>
      <c r="M97" s="83">
        <f>+E97*F97*G97</f>
        <v>0</v>
      </c>
    </row>
    <row r="98" spans="1:13" x14ac:dyDescent="0.2">
      <c r="A98" s="39"/>
      <c r="B98" s="2"/>
      <c r="C98" s="110"/>
      <c r="D98" s="110"/>
      <c r="E98" s="125" t="s">
        <v>301</v>
      </c>
      <c r="F98" s="164"/>
      <c r="G98" s="164" t="s">
        <v>32</v>
      </c>
      <c r="H98" s="110"/>
      <c r="I98" s="110"/>
      <c r="J98" s="110"/>
      <c r="K98" s="110"/>
      <c r="L98" s="110"/>
      <c r="M98" s="11"/>
    </row>
    <row r="99" spans="1:13" ht="26.3" customHeight="1" x14ac:dyDescent="0.2">
      <c r="A99" s="358" t="s">
        <v>307</v>
      </c>
      <c r="B99" s="359"/>
      <c r="C99" s="360"/>
      <c r="D99" s="268" t="s">
        <v>286</v>
      </c>
      <c r="E99" s="80">
        <f>+VLOOKUP(YEAR(C6),Tabel1[],3)</f>
        <v>2316.2399999999998</v>
      </c>
      <c r="F99" s="268" t="s">
        <v>286</v>
      </c>
      <c r="G99" s="109">
        <f>IF(F99="Årlige ansatte",Administration!F27,IF(F99="Faktiske ansatte",E52,))</f>
        <v>0</v>
      </c>
      <c r="H99" s="168"/>
      <c r="I99" s="168"/>
      <c r="J99" s="168"/>
      <c r="K99" s="142" t="s">
        <v>84</v>
      </c>
      <c r="L99" s="169"/>
      <c r="M99" s="83">
        <f>IF(D99="Overhead",+E99*G99*Budgetark!G6/Budgetark!G7,0)</f>
        <v>0</v>
      </c>
    </row>
    <row r="100" spans="1:13" ht="13.15" thickBot="1" x14ac:dyDescent="0.25">
      <c r="A100" s="39"/>
      <c r="B100" s="2"/>
      <c r="C100" s="110"/>
      <c r="D100" s="110"/>
      <c r="E100" s="110"/>
      <c r="F100" s="144"/>
      <c r="G100" s="110"/>
      <c r="H100" s="110"/>
      <c r="I100" s="110"/>
      <c r="J100" s="110"/>
      <c r="K100" s="110"/>
      <c r="L100" s="110"/>
      <c r="M100" s="11"/>
    </row>
    <row r="101" spans="1:13" ht="13.15" thickBot="1" x14ac:dyDescent="0.25">
      <c r="A101" s="171" t="s">
        <v>149</v>
      </c>
      <c r="B101" s="172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3">
        <f>+SUM(M93:M99)</f>
        <v>0</v>
      </c>
    </row>
    <row r="102" spans="1:13" x14ac:dyDescent="0.2">
      <c r="A102" s="39"/>
      <c r="B102" s="2"/>
      <c r="C102" s="110"/>
      <c r="D102" s="110"/>
      <c r="E102" s="110"/>
      <c r="F102" s="144"/>
      <c r="G102" s="110"/>
      <c r="H102" s="110"/>
      <c r="I102" s="110"/>
      <c r="J102" s="110"/>
      <c r="K102" s="110"/>
      <c r="L102" s="110"/>
      <c r="M102" s="2"/>
    </row>
    <row r="103" spans="1:13" x14ac:dyDescent="0.2">
      <c r="A103" s="2" t="s">
        <v>150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186" t="e">
        <f>+(M83+M101-M99)/(Budgetark!J6*7/(Budgetark!J7*7/12))</f>
        <v>#DIV/0!</v>
      </c>
    </row>
    <row r="104" spans="1:13" s="103" customFormat="1" x14ac:dyDescent="0.2">
      <c r="A104" s="187" t="s">
        <v>151</v>
      </c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8" t="e">
        <f>+M90+M99/(Budgetark!J6/(Budgetark!J7/12))</f>
        <v>#DIV/0!</v>
      </c>
    </row>
    <row r="105" spans="1:13" x14ac:dyDescent="0.2">
      <c r="A105" s="39"/>
      <c r="B105" s="2"/>
      <c r="C105" s="110"/>
      <c r="D105" s="110"/>
      <c r="E105" s="110"/>
      <c r="F105" s="144"/>
      <c r="G105" s="110"/>
      <c r="H105" s="110"/>
      <c r="I105" s="110"/>
      <c r="J105" s="110"/>
      <c r="K105" s="110"/>
      <c r="L105" s="110"/>
      <c r="M105" s="2"/>
    </row>
    <row r="106" spans="1:13" x14ac:dyDescent="0.2">
      <c r="A106" s="3" t="s">
        <v>81</v>
      </c>
      <c r="G106" s="110"/>
    </row>
    <row r="107" spans="1:13" ht="13.5" customHeight="1" x14ac:dyDescent="0.2">
      <c r="A107" s="39"/>
      <c r="B107" s="2"/>
      <c r="C107" s="110"/>
      <c r="D107" s="110"/>
      <c r="E107" s="110" t="s">
        <v>93</v>
      </c>
      <c r="F107" s="144"/>
      <c r="G107" s="110"/>
      <c r="H107" s="110"/>
      <c r="I107" s="110"/>
      <c r="J107" s="110"/>
      <c r="K107" s="110"/>
      <c r="L107" s="110"/>
      <c r="M107" s="2"/>
    </row>
    <row r="108" spans="1:13" x14ac:dyDescent="0.2">
      <c r="A108" s="163" t="s">
        <v>92</v>
      </c>
      <c r="B108" s="166"/>
      <c r="C108" s="167"/>
      <c r="D108" s="167"/>
      <c r="E108" s="208">
        <v>0</v>
      </c>
      <c r="F108" s="185"/>
      <c r="G108" s="216"/>
      <c r="H108" s="168"/>
      <c r="I108" s="168"/>
      <c r="J108" s="168"/>
      <c r="K108" s="142" t="s">
        <v>84</v>
      </c>
      <c r="L108" s="169"/>
      <c r="M108" s="83" t="e">
        <f>+M83*E108</f>
        <v>#DIV/0!</v>
      </c>
    </row>
    <row r="109" spans="1:13" x14ac:dyDescent="0.2">
      <c r="A109" s="39"/>
      <c r="B109" s="2"/>
      <c r="C109" s="110"/>
      <c r="D109" s="110"/>
      <c r="E109" s="110" t="s">
        <v>230</v>
      </c>
      <c r="F109" s="144"/>
      <c r="G109" s="110"/>
      <c r="H109" s="110"/>
      <c r="I109" s="110"/>
      <c r="J109" s="110"/>
      <c r="K109" s="110"/>
      <c r="L109" s="110"/>
      <c r="M109" s="11"/>
    </row>
    <row r="110" spans="1:13" x14ac:dyDescent="0.2">
      <c r="A110" s="163" t="s">
        <v>97</v>
      </c>
      <c r="B110" s="166"/>
      <c r="C110" s="167"/>
      <c r="D110" s="167"/>
      <c r="E110" s="208">
        <v>0</v>
      </c>
      <c r="F110" s="185"/>
      <c r="G110" s="170"/>
      <c r="H110" s="168"/>
      <c r="I110" s="168"/>
      <c r="J110" s="168"/>
      <c r="K110" s="142" t="s">
        <v>84</v>
      </c>
      <c r="L110" s="169"/>
      <c r="M110" s="83" t="e">
        <f>+M83*E110</f>
        <v>#DIV/0!</v>
      </c>
    </row>
    <row r="111" spans="1:13" x14ac:dyDescent="0.2">
      <c r="A111" s="39"/>
      <c r="B111" s="2"/>
      <c r="C111" s="110"/>
      <c r="D111" s="144" t="s">
        <v>281</v>
      </c>
      <c r="E111" s="125" t="s">
        <v>426</v>
      </c>
      <c r="F111" s="144"/>
      <c r="G111" s="110"/>
      <c r="H111" s="110"/>
      <c r="I111" s="110"/>
      <c r="J111" s="110"/>
      <c r="K111" s="110"/>
      <c r="L111" s="110"/>
      <c r="M111" s="11"/>
    </row>
    <row r="112" spans="1:13" x14ac:dyDescent="0.2">
      <c r="A112" s="163" t="s">
        <v>231</v>
      </c>
      <c r="B112" s="166"/>
      <c r="C112" s="167"/>
      <c r="D112" s="204" t="s">
        <v>286</v>
      </c>
      <c r="E112" s="80">
        <f>+Forudsætninger!D106</f>
        <v>0</v>
      </c>
      <c r="F112" s="170"/>
      <c r="G112" s="170"/>
      <c r="H112" s="168"/>
      <c r="I112" s="168"/>
      <c r="J112" s="168"/>
      <c r="K112" s="142" t="s">
        <v>84</v>
      </c>
      <c r="L112" s="169"/>
      <c r="M112" s="83">
        <f>+IF(D112="Ja",E112,0)</f>
        <v>0</v>
      </c>
    </row>
    <row r="113" spans="1:13" x14ac:dyDescent="0.2">
      <c r="A113" s="39"/>
      <c r="B113" s="2"/>
      <c r="C113" s="110"/>
      <c r="D113" s="110"/>
      <c r="E113" s="144" t="s">
        <v>184</v>
      </c>
      <c r="F113" s="144" t="s">
        <v>121</v>
      </c>
      <c r="G113" s="110"/>
      <c r="H113" s="110"/>
      <c r="I113" s="110"/>
      <c r="J113" s="110"/>
      <c r="K113" s="110"/>
      <c r="L113" s="110"/>
      <c r="M113" s="11"/>
    </row>
    <row r="114" spans="1:13" x14ac:dyDescent="0.2">
      <c r="A114" s="163" t="s">
        <v>122</v>
      </c>
      <c r="B114" s="166"/>
      <c r="C114" s="167"/>
      <c r="D114" s="139"/>
      <c r="E114" s="80">
        <f>+Forudsætninger!D107</f>
        <v>0</v>
      </c>
      <c r="F114" s="204">
        <v>0</v>
      </c>
      <c r="G114" s="170"/>
      <c r="H114" s="168"/>
      <c r="I114" s="168"/>
      <c r="J114" s="168"/>
      <c r="K114" s="142" t="s">
        <v>84</v>
      </c>
      <c r="L114" s="169"/>
      <c r="M114" s="83">
        <f>+IF($D$112="Ja",E114*F114,0)</f>
        <v>0</v>
      </c>
    </row>
    <row r="115" spans="1:13" x14ac:dyDescent="0.2">
      <c r="A115" s="39"/>
      <c r="B115" s="2"/>
      <c r="C115" s="110"/>
      <c r="D115" s="110"/>
      <c r="E115" s="125" t="s">
        <v>118</v>
      </c>
      <c r="F115" s="144" t="s">
        <v>119</v>
      </c>
      <c r="G115" s="110"/>
      <c r="H115" s="110"/>
      <c r="I115" s="110"/>
      <c r="J115" s="110"/>
      <c r="K115" s="110"/>
      <c r="L115" s="110"/>
      <c r="M115" s="11"/>
    </row>
    <row r="116" spans="1:13" x14ac:dyDescent="0.2">
      <c r="A116" s="163" t="s">
        <v>120</v>
      </c>
      <c r="B116" s="166"/>
      <c r="C116" s="167"/>
      <c r="D116" s="139"/>
      <c r="E116" s="80">
        <f>+Forudsætninger!D108</f>
        <v>3.73</v>
      </c>
      <c r="F116" s="204">
        <v>0</v>
      </c>
      <c r="G116" s="170"/>
      <c r="H116" s="168"/>
      <c r="I116" s="168"/>
      <c r="J116" s="168"/>
      <c r="K116" s="142" t="s">
        <v>84</v>
      </c>
      <c r="L116" s="169"/>
      <c r="M116" s="83">
        <f>+IF($D$112="Ja",E116*F116,0)</f>
        <v>0</v>
      </c>
    </row>
    <row r="117" spans="1:13" ht="21.3" x14ac:dyDescent="0.2">
      <c r="A117" s="190"/>
      <c r="B117" s="190"/>
      <c r="C117" s="191"/>
      <c r="D117" s="192"/>
      <c r="E117" s="307" t="s">
        <v>445</v>
      </c>
      <c r="F117" s="192"/>
      <c r="G117" s="193"/>
      <c r="H117" s="168"/>
      <c r="I117" s="168"/>
      <c r="J117" s="168"/>
      <c r="K117" s="194"/>
      <c r="L117" s="195"/>
      <c r="M117" s="127"/>
    </row>
    <row r="118" spans="1:13" x14ac:dyDescent="0.2">
      <c r="A118" s="347" t="s">
        <v>451</v>
      </c>
      <c r="B118" s="349"/>
      <c r="C118" s="350"/>
      <c r="D118" s="167" t="s">
        <v>442</v>
      </c>
      <c r="E118" s="204">
        <v>0</v>
      </c>
      <c r="F118" s="189">
        <v>1962.6</v>
      </c>
      <c r="G118" s="170"/>
      <c r="H118" s="168"/>
      <c r="I118" s="168"/>
      <c r="J118" s="168"/>
      <c r="K118" s="142" t="s">
        <v>444</v>
      </c>
      <c r="L118" s="169"/>
      <c r="M118" s="83">
        <f>+E118*F118</f>
        <v>0</v>
      </c>
    </row>
    <row r="119" spans="1:13" x14ac:dyDescent="0.2">
      <c r="A119" s="348"/>
      <c r="B119" s="351"/>
      <c r="C119" s="352"/>
      <c r="D119" s="167" t="s">
        <v>443</v>
      </c>
      <c r="E119" s="204">
        <v>0</v>
      </c>
      <c r="F119" s="189">
        <v>2098.27</v>
      </c>
      <c r="G119" s="308"/>
      <c r="H119" s="168"/>
      <c r="I119" s="168"/>
      <c r="J119" s="168"/>
      <c r="K119" s="142" t="s">
        <v>444</v>
      </c>
      <c r="L119" s="169"/>
      <c r="M119" s="83">
        <f>+E119*F119</f>
        <v>0</v>
      </c>
    </row>
    <row r="120" spans="1:13" ht="13.15" thickBot="1" x14ac:dyDescent="0.25">
      <c r="A120" s="39"/>
      <c r="B120" s="2"/>
      <c r="C120" s="125"/>
      <c r="D120" s="125"/>
      <c r="E120" s="125"/>
      <c r="F120" s="125"/>
      <c r="G120" s="125"/>
      <c r="H120" s="125"/>
      <c r="I120" s="125"/>
      <c r="J120" s="125"/>
      <c r="K120" s="125"/>
      <c r="L120" s="125"/>
      <c r="M120" s="11"/>
    </row>
    <row r="121" spans="1:13" ht="13.15" thickBot="1" x14ac:dyDescent="0.25">
      <c r="A121" s="171" t="s">
        <v>152</v>
      </c>
      <c r="B121" s="172"/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  <c r="M121" s="173" t="e">
        <f>SUM(M108:O119)</f>
        <v>#DIV/0!</v>
      </c>
    </row>
    <row r="122" spans="1:13" x14ac:dyDescent="0.2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17"/>
    </row>
    <row r="123" spans="1:13" x14ac:dyDescent="0.2">
      <c r="A123" s="187" t="s">
        <v>277</v>
      </c>
      <c r="B123" s="175"/>
      <c r="C123" s="175"/>
      <c r="D123" s="175"/>
      <c r="E123" s="175"/>
      <c r="F123" s="175"/>
      <c r="G123" s="175"/>
      <c r="H123" s="175"/>
      <c r="I123" s="175"/>
      <c r="J123" s="175"/>
      <c r="K123" s="175"/>
      <c r="L123" s="175"/>
      <c r="M123" s="176" t="e">
        <f>+(M83+M121+M101+M89)</f>
        <v>#DIV/0!</v>
      </c>
    </row>
    <row r="124" spans="1:13" x14ac:dyDescent="0.2">
      <c r="A124" s="2"/>
      <c r="M124" s="184"/>
    </row>
    <row r="125" spans="1:13" x14ac:dyDescent="0.2">
      <c r="A125" s="3" t="s">
        <v>199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2">
      <c r="A126" s="2" t="s">
        <v>72</v>
      </c>
      <c r="B126" s="2" t="s">
        <v>439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2">
      <c r="A127" s="2" t="s">
        <v>73</v>
      </c>
      <c r="B127" s="2" t="s">
        <v>74</v>
      </c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2">
      <c r="A128" s="3" t="s">
        <v>75</v>
      </c>
      <c r="B128" s="196" t="s">
        <v>441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2">
      <c r="A129" s="2"/>
      <c r="M129" s="198"/>
    </row>
    <row r="130" spans="1:13" x14ac:dyDescent="0.2">
      <c r="A130" s="3" t="s">
        <v>204</v>
      </c>
      <c r="F130" s="199"/>
      <c r="I130" s="128"/>
      <c r="J130" s="128"/>
      <c r="M130" s="198"/>
    </row>
    <row r="131" spans="1:13" ht="23.95" customHeight="1" x14ac:dyDescent="0.2">
      <c r="A131" s="353" t="s">
        <v>161</v>
      </c>
      <c r="B131" s="353"/>
      <c r="C131" s="353"/>
      <c r="D131" s="353"/>
      <c r="E131" s="353"/>
      <c r="F131" s="353"/>
      <c r="G131" s="353"/>
      <c r="H131" s="353"/>
      <c r="I131" s="353"/>
      <c r="J131" s="353"/>
      <c r="K131" s="353"/>
      <c r="L131" s="353"/>
      <c r="M131" s="353"/>
    </row>
    <row r="132" spans="1:13" x14ac:dyDescent="0.2">
      <c r="A132" s="2"/>
    </row>
    <row r="133" spans="1:13" x14ac:dyDescent="0.2">
      <c r="A133" s="3" t="s">
        <v>236</v>
      </c>
    </row>
    <row r="134" spans="1:13" ht="24.75" customHeight="1" x14ac:dyDescent="0.2">
      <c r="A134" s="353" t="s">
        <v>237</v>
      </c>
      <c r="B134" s="353"/>
      <c r="C134" s="353"/>
      <c r="D134" s="353"/>
      <c r="E134" s="353"/>
      <c r="F134" s="353"/>
      <c r="G134" s="353"/>
      <c r="H134" s="353"/>
      <c r="I134" s="353"/>
      <c r="J134" s="353"/>
      <c r="K134" s="353"/>
      <c r="L134" s="353"/>
      <c r="M134" s="353"/>
    </row>
    <row r="135" spans="1:13" ht="23.95" customHeight="1" x14ac:dyDescent="0.2">
      <c r="A135" s="353" t="s">
        <v>238</v>
      </c>
      <c r="B135" s="353"/>
      <c r="C135" s="353"/>
      <c r="D135" s="353"/>
      <c r="E135" s="353"/>
      <c r="F135" s="353"/>
      <c r="G135" s="353"/>
      <c r="H135" s="353"/>
      <c r="I135" s="353"/>
      <c r="J135" s="353"/>
      <c r="K135" s="353"/>
      <c r="L135" s="353"/>
      <c r="M135" s="353"/>
    </row>
    <row r="137" spans="1:13" x14ac:dyDescent="0.2">
      <c r="A137" s="3" t="s">
        <v>305</v>
      </c>
      <c r="F137" s="199"/>
      <c r="I137" s="197"/>
    </row>
    <row r="138" spans="1:13" ht="24.75" customHeight="1" x14ac:dyDescent="0.2">
      <c r="A138" s="353" t="s">
        <v>304</v>
      </c>
      <c r="B138" s="353"/>
      <c r="C138" s="353"/>
      <c r="D138" s="353"/>
      <c r="E138" s="353"/>
      <c r="F138" s="353"/>
      <c r="G138" s="353"/>
      <c r="H138" s="353"/>
      <c r="I138" s="353"/>
      <c r="J138" s="353"/>
      <c r="K138" s="353"/>
      <c r="L138" s="353"/>
      <c r="M138" s="353"/>
    </row>
    <row r="140" spans="1:13" x14ac:dyDescent="0.2">
      <c r="A140" s="3" t="s">
        <v>450</v>
      </c>
    </row>
    <row r="141" spans="1:13" x14ac:dyDescent="0.2">
      <c r="A141" s="346" t="s">
        <v>448</v>
      </c>
      <c r="B141" s="346"/>
      <c r="C141" s="346"/>
      <c r="D141" s="346"/>
      <c r="E141" s="346"/>
      <c r="F141" s="346"/>
      <c r="G141" s="346"/>
      <c r="H141" s="346"/>
      <c r="I141" s="346"/>
      <c r="J141" s="346"/>
      <c r="K141" s="346"/>
      <c r="L141" s="346"/>
      <c r="M141" s="346"/>
    </row>
    <row r="142" spans="1:13" x14ac:dyDescent="0.2">
      <c r="A142" s="346" t="s">
        <v>449</v>
      </c>
      <c r="B142" s="346"/>
      <c r="C142" s="346"/>
      <c r="D142" s="346"/>
      <c r="E142" s="346"/>
      <c r="F142" s="346"/>
      <c r="G142" s="346"/>
      <c r="H142" s="346"/>
      <c r="I142" s="346"/>
      <c r="J142" s="346"/>
      <c r="K142" s="346"/>
      <c r="L142" s="346"/>
      <c r="M142" s="346"/>
    </row>
    <row r="143" spans="1:13" x14ac:dyDescent="0.2">
      <c r="A143" s="346" t="s">
        <v>447</v>
      </c>
      <c r="B143" s="346"/>
      <c r="C143" s="346"/>
      <c r="D143" s="346"/>
      <c r="E143" s="346"/>
      <c r="F143" s="346"/>
      <c r="G143" s="346"/>
      <c r="H143" s="346"/>
      <c r="I143" s="346"/>
      <c r="J143" s="346"/>
      <c r="K143" s="346"/>
      <c r="L143" s="346"/>
      <c r="M143" s="346"/>
    </row>
  </sheetData>
  <sheetProtection algorithmName="SHA-512" hashValue="kYpnnuuwZOmxXpQVvLVcwP5sDZ0Z3TWrSo47z3RcfDHsv1a9nf5H+gs0OIxOQYDzjSu5ZmX8U2NQSyuv4RCCfw==" saltValue="P/YiHb0oxTfZ2TMb/Lmqcg==" spinCount="100000" sheet="1" objects="1" scenarios="1"/>
  <mergeCells count="16">
    <mergeCell ref="I2:M2"/>
    <mergeCell ref="A131:M131"/>
    <mergeCell ref="A8:E8"/>
    <mergeCell ref="B4:C4"/>
    <mergeCell ref="A9:E9"/>
    <mergeCell ref="N10:O10"/>
    <mergeCell ref="A134:M134"/>
    <mergeCell ref="A99:C99"/>
    <mergeCell ref="A138:M138"/>
    <mergeCell ref="A135:M135"/>
    <mergeCell ref="C83:D83"/>
    <mergeCell ref="A141:M141"/>
    <mergeCell ref="A142:M142"/>
    <mergeCell ref="A143:M143"/>
    <mergeCell ref="A118:A119"/>
    <mergeCell ref="B118:C119"/>
  </mergeCells>
  <dataValidations count="10">
    <dataValidation type="list" allowBlank="1" showInputMessage="1" showErrorMessage="1" sqref="D62" xr:uid="{00000000-0002-0000-0300-000000000000}">
      <formula1>"Forhøjet pensionssats,Almindelig pensionsats"</formula1>
    </dataValidation>
    <dataValidation type="list" allowBlank="1" showInputMessage="1" showErrorMessage="1" sqref="D60 D112" xr:uid="{00000000-0002-0000-0300-000001000000}">
      <formula1>"Vælg,Ja,Nej"</formula1>
    </dataValidation>
    <dataValidation type="list" allowBlank="1" showInputMessage="1" showErrorMessage="1" sqref="D99" xr:uid="{00000000-0002-0000-0300-000002000000}">
      <formula1>"Vælg, Beregner, Overhead"</formula1>
    </dataValidation>
    <dataValidation allowBlank="1" showInputMessage="1" showErrorMessage="1" promptTitle="Til dato" prompt="Indtast slutdato i perioden, dvs. sidste dag i perioden._x000a_dd-mm-åååå_x000a_Eks. ved årsbudget: hvis startdato er 01-04-2019 skal slutdato være 31-03-2020_x000a_" sqref="E6" xr:uid="{27877A2A-1D44-4E2E-BBD2-48B81548FFAE}"/>
    <dataValidation type="list" allowBlank="1" showInputMessage="1" showErrorMessage="1" sqref="F8" xr:uid="{00000000-0002-0000-0300-000004000000}">
      <formula1>Løntrin</formula1>
    </dataValidation>
    <dataValidation type="list" allowBlank="1" showInputMessage="1" showErrorMessage="1" sqref="B4:C4" xr:uid="{00000000-0002-0000-0300-000005000000}">
      <formula1>Kommuneliste</formula1>
    </dataValidation>
    <dataValidation type="list" allowBlank="1" showInputMessage="1" showErrorMessage="1" promptTitle="Vælg type antal ansatte" prompt="Vælg om der skal beregnes med de faktiske hjælpere i ordningen indsat ved &quot;Løse timer&quot; eller der skal benyttes antal forventede årlige hjælpere ud fra gennemsnitsmodellen på faneblad &quot;Administration&quot;, hvor i afløsere samt udskiftning er medtaget. " sqref="F99" xr:uid="{00000000-0002-0000-0300-000006000000}">
      <formula1>"Vælg, Faktiske ansatte, Årlige ansatte"</formula1>
    </dataValidation>
    <dataValidation type="list" allowBlank="1" showInputMessage="1" showErrorMessage="1" sqref="D93 D95" xr:uid="{00000000-0002-0000-0300-000007000000}">
      <formula1>"Ja,Nej"</formula1>
    </dataValidation>
    <dataValidation type="list" allowBlank="1" showInputMessage="1" showErrorMessage="1" promptTitle="Løntillæg til ufaglærte" prompt="Tag stilling til om løntillæg til ufaglærte skal medtages ved tilskudsberegning med løntillæg 13 til 15_x000a_OBS almindelig erfaringsløn løntrin 12 er indregnet ved rummeligheden" sqref="F9" xr:uid="{00000000-0002-0000-0300-000008000000}">
      <formula1>Vælg</formula1>
    </dataValidation>
    <dataValidation allowBlank="1" showInputMessage="1" showErrorMessage="1" promptTitle="Indsæt rummelighedsprocent" prompt="Indsæt rummelighedsprocent, hvis det valgte løntrin i beregneren er højere end løntrin 11. Yderligere forklaring af rummelighed, findes i fanebladet &quot;Forudsætninger&quot;. Hvis intet indsættes benyttes de almindelige p/l-fremskrivning faneblad &quot;Administration&quot;" sqref="E83" xr:uid="{00000000-0002-0000-0300-000009000000}"/>
  </dataValidations>
  <pageMargins left="0.7" right="0.7" top="0.75" bottom="0.75" header="0.3" footer="0.3"/>
  <pageSetup paperSize="8"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2"/>
  <sheetViews>
    <sheetView zoomScaleNormal="100" workbookViewId="0"/>
  </sheetViews>
  <sheetFormatPr defaultColWidth="9.375" defaultRowHeight="13.15" outlineLevelCol="1" x14ac:dyDescent="0.25"/>
  <cols>
    <col min="1" max="1" width="55.375" customWidth="1"/>
    <col min="2" max="3" width="17.625" customWidth="1"/>
    <col min="4" max="4" width="56" style="219" customWidth="1"/>
    <col min="5" max="5" width="4" style="151" customWidth="1"/>
    <col min="6" max="6" width="17.875" style="100" customWidth="1" outlineLevel="1"/>
    <col min="7" max="7" width="13.5" style="100" customWidth="1" outlineLevel="1"/>
    <col min="8" max="8" width="3" style="100" customWidth="1"/>
    <col min="9" max="9" width="18.125" style="100" customWidth="1" outlineLevel="1"/>
    <col min="10" max="10" width="13.5" style="100" customWidth="1" outlineLevel="1"/>
    <col min="11" max="11" width="3.375" customWidth="1"/>
  </cols>
  <sheetData>
    <row r="1" spans="1:10" ht="21.3" x14ac:dyDescent="0.35">
      <c r="A1" s="1" t="s">
        <v>239</v>
      </c>
    </row>
    <row r="3" spans="1:10" x14ac:dyDescent="0.25">
      <c r="A3" s="151" t="s">
        <v>180</v>
      </c>
      <c r="B3" s="220">
        <f>+'BPA-HHOK'!F4</f>
        <v>0</v>
      </c>
      <c r="C3" s="220">
        <f>'SOSU-OK'!F4</f>
        <v>0</v>
      </c>
      <c r="F3" s="369" t="s">
        <v>296</v>
      </c>
      <c r="G3" s="369"/>
      <c r="I3" s="369" t="s">
        <v>240</v>
      </c>
      <c r="J3" s="369"/>
    </row>
    <row r="4" spans="1:10" x14ac:dyDescent="0.25">
      <c r="A4" s="151" t="s">
        <v>282</v>
      </c>
      <c r="B4" s="151"/>
      <c r="F4" s="368" t="s">
        <v>163</v>
      </c>
      <c r="G4" s="368"/>
      <c r="H4" s="221"/>
      <c r="I4" s="368" t="s">
        <v>163</v>
      </c>
      <c r="J4" s="368"/>
    </row>
    <row r="5" spans="1:10" x14ac:dyDescent="0.25">
      <c r="B5" s="222" t="s">
        <v>290</v>
      </c>
      <c r="C5" s="222" t="s">
        <v>241</v>
      </c>
      <c r="D5" s="223" t="s">
        <v>100</v>
      </c>
    </row>
    <row r="6" spans="1:10" ht="25.7" x14ac:dyDescent="0.25">
      <c r="A6" s="224" t="s">
        <v>101</v>
      </c>
      <c r="B6" s="225">
        <f>+('BPA-HHOK'!F47-'BPA-HHOK'!E47/4)*'BPA-HHOK'!G8*G6</f>
        <v>0</v>
      </c>
      <c r="C6" s="225">
        <f>+('SOSU-OK'!F47-'SOSU-OK'!E47/4)*'SOSU-OK'!G8*J6</f>
        <v>0</v>
      </c>
      <c r="D6" s="226" t="s">
        <v>176</v>
      </c>
      <c r="E6" s="227"/>
      <c r="F6" s="228" t="s">
        <v>278</v>
      </c>
      <c r="G6" s="229">
        <f>+('BPA-HHOK'!E6-'BPA-HHOK'!C6+1)/7</f>
        <v>52.142857142857146</v>
      </c>
      <c r="I6" s="228" t="s">
        <v>278</v>
      </c>
      <c r="J6" s="229">
        <f>+('SOSU-OK'!E6-'SOSU-OK'!C6+1)/7</f>
        <v>52.142857142857146</v>
      </c>
    </row>
    <row r="7" spans="1:10" ht="38.200000000000003" x14ac:dyDescent="0.25">
      <c r="A7" s="224" t="s">
        <v>102</v>
      </c>
      <c r="B7" s="225">
        <f>+'BPA-HHOK'!N47*G6+'BPA-HHOK'!O47</f>
        <v>0</v>
      </c>
      <c r="C7" s="225">
        <f>+'SOSU-OK'!N47*J6+'SOSU-OK'!O47</f>
        <v>0</v>
      </c>
      <c r="D7" s="226" t="s">
        <v>115</v>
      </c>
      <c r="E7" s="227"/>
      <c r="F7" s="228" t="s">
        <v>279</v>
      </c>
      <c r="G7" s="229">
        <f>+(DATE(YEAR('BPA-HHOK'!C6)+1,MONTH('BPA-HHOK'!C6),DAY('BPA-HHOK'!C6))-'BPA-HHOK'!C6)/7</f>
        <v>52.142857142857146</v>
      </c>
      <c r="I7" s="228" t="s">
        <v>279</v>
      </c>
      <c r="J7" s="229">
        <f>+(DATE(YEAR('SOSU-OK'!C6)+1,MONTH('SOSU-OK'!C6),DAY('SOSU-OK'!C6))-'SOSU-OK'!C6)/7</f>
        <v>52.142857142857146</v>
      </c>
    </row>
    <row r="8" spans="1:10" x14ac:dyDescent="0.25">
      <c r="A8" s="224" t="s">
        <v>112</v>
      </c>
      <c r="B8" s="225">
        <f>+('BPA-HHOK'!M52)*G6</f>
        <v>0</v>
      </c>
      <c r="C8" s="225">
        <f>+SUM('SOSU-OK'!M52)*J6</f>
        <v>0</v>
      </c>
      <c r="D8" s="226" t="s">
        <v>113</v>
      </c>
      <c r="E8" s="227"/>
      <c r="F8" s="230"/>
      <c r="G8" s="231"/>
      <c r="I8" s="230"/>
      <c r="J8" s="231"/>
    </row>
    <row r="9" spans="1:10" ht="25.7" x14ac:dyDescent="0.25">
      <c r="A9" s="224" t="s">
        <v>89</v>
      </c>
      <c r="B9" s="225" t="e">
        <f>+'BPA-HHOK'!M54*G6</f>
        <v>#DIV/0!</v>
      </c>
      <c r="C9" s="225" t="e">
        <f>+'SOSU-OK'!M54*J6</f>
        <v>#DIV/0!</v>
      </c>
      <c r="D9" s="226" t="s">
        <v>89</v>
      </c>
      <c r="E9" s="227"/>
      <c r="F9" s="232" t="s">
        <v>164</v>
      </c>
      <c r="G9" s="233" t="s">
        <v>280</v>
      </c>
      <c r="H9" s="234"/>
      <c r="I9" s="232" t="s">
        <v>164</v>
      </c>
      <c r="J9" s="233" t="s">
        <v>280</v>
      </c>
    </row>
    <row r="10" spans="1:10" ht="25.7" x14ac:dyDescent="0.25">
      <c r="A10" s="224" t="s">
        <v>103</v>
      </c>
      <c r="B10" s="225">
        <f>+'BPA-HHOK'!M50*G6</f>
        <v>0</v>
      </c>
      <c r="C10" s="225">
        <f>+'SOSU-OK'!M50*J6</f>
        <v>0</v>
      </c>
      <c r="D10" s="226" t="s">
        <v>297</v>
      </c>
      <c r="E10" s="227"/>
      <c r="F10" s="235" t="s">
        <v>165</v>
      </c>
      <c r="G10" s="229">
        <f>+('BPA-HHOK'!C47+'BPA-HHOK'!E47)*G6</f>
        <v>0</v>
      </c>
      <c r="H10" s="236"/>
      <c r="I10" s="235" t="s">
        <v>165</v>
      </c>
      <c r="J10" s="225">
        <f>+('SOSU-OK'!C47+'SOSU-OK'!E47)*J6</f>
        <v>0</v>
      </c>
    </row>
    <row r="11" spans="1:10" ht="25.7" x14ac:dyDescent="0.25">
      <c r="A11" s="237" t="s">
        <v>104</v>
      </c>
      <c r="B11" s="238" t="e">
        <f>SUM(B6:B10)</f>
        <v>#DIV/0!</v>
      </c>
      <c r="C11" s="238" t="e">
        <f>SUM(C6:C10)</f>
        <v>#DIV/0!</v>
      </c>
      <c r="D11" s="239"/>
      <c r="E11" s="240"/>
      <c r="F11" s="241" t="s">
        <v>166</v>
      </c>
      <c r="G11" s="242">
        <f>+'BPA-HHOK'!E47*G6</f>
        <v>0</v>
      </c>
      <c r="H11" s="243"/>
      <c r="I11" s="241" t="s">
        <v>166</v>
      </c>
      <c r="J11" s="238">
        <f>+'SOSU-OK'!E47*J6</f>
        <v>0</v>
      </c>
    </row>
    <row r="12" spans="1:10" x14ac:dyDescent="0.25">
      <c r="A12" s="224" t="s">
        <v>105</v>
      </c>
      <c r="B12" s="225" t="e">
        <f>+SUM('BPA-HHOK'!M58:M60)*G6</f>
        <v>#DIV/0!</v>
      </c>
      <c r="C12" s="225" t="e">
        <f>+SUM('SOSU-OK'!M58:M60)*J6</f>
        <v>#DIV/0!</v>
      </c>
      <c r="D12" s="226" t="s">
        <v>116</v>
      </c>
      <c r="E12" s="227"/>
      <c r="F12" s="235" t="s">
        <v>167</v>
      </c>
      <c r="G12" s="229">
        <f>+'BPA-HHOK'!D47</f>
        <v>0</v>
      </c>
      <c r="H12" s="236"/>
      <c r="I12" s="235" t="s">
        <v>167</v>
      </c>
      <c r="J12" s="225">
        <f>+'SOSU-OK'!D47</f>
        <v>0</v>
      </c>
    </row>
    <row r="13" spans="1:10" x14ac:dyDescent="0.25">
      <c r="A13" s="224" t="s">
        <v>272</v>
      </c>
      <c r="B13" s="225">
        <f>('BPA-HHOK'!M68)*G6</f>
        <v>0</v>
      </c>
      <c r="C13" s="225">
        <f>('SOSU-OK'!M68)*J6</f>
        <v>0</v>
      </c>
      <c r="D13" s="226"/>
      <c r="E13" s="227"/>
      <c r="F13" s="235" t="s">
        <v>112</v>
      </c>
      <c r="G13" s="229">
        <f>+'BPA-HHOK'!E52*'BPA-HHOK'!F52*G6/G7</f>
        <v>0</v>
      </c>
      <c r="H13" s="236"/>
      <c r="I13" s="235" t="s">
        <v>112</v>
      </c>
      <c r="J13" s="225">
        <f>+'SOSU-OK'!E52*'SOSU-OK'!F52*J6/J7</f>
        <v>0</v>
      </c>
    </row>
    <row r="14" spans="1:10" x14ac:dyDescent="0.25">
      <c r="A14" s="224" t="s">
        <v>39</v>
      </c>
      <c r="B14" s="225">
        <f>+SUM('BPA-HHOK'!M62:M64)*G6</f>
        <v>0</v>
      </c>
      <c r="C14" s="225">
        <f>+SUM('SOSU-OK'!M62:M64)*J6</f>
        <v>0</v>
      </c>
      <c r="D14" s="226" t="s">
        <v>242</v>
      </c>
      <c r="E14" s="227"/>
      <c r="F14" s="235" t="s">
        <v>89</v>
      </c>
      <c r="G14" s="229">
        <f>+'BPA-HHOK'!E54*'BPA-HHOK'!F54*G6/G7</f>
        <v>0</v>
      </c>
      <c r="H14" s="236"/>
      <c r="I14" s="235" t="s">
        <v>89</v>
      </c>
      <c r="J14" s="225">
        <f>+'SOSU-OK'!E54*'SOSU-OK'!F54*J6/J7</f>
        <v>0</v>
      </c>
    </row>
    <row r="15" spans="1:10" x14ac:dyDescent="0.25">
      <c r="A15" s="224" t="s">
        <v>106</v>
      </c>
      <c r="B15" s="225">
        <f>+'BPA-HHOK'!M66*G6</f>
        <v>0</v>
      </c>
      <c r="C15" s="225">
        <f>+'SOSU-OK'!M66*J6</f>
        <v>0</v>
      </c>
      <c r="D15" s="226" t="s">
        <v>117</v>
      </c>
      <c r="E15" s="227"/>
      <c r="F15" s="235" t="s">
        <v>168</v>
      </c>
      <c r="G15" s="229">
        <f>+'BPA-HHOK'!E97*'BPA-HHOK'!F97*G6/G7</f>
        <v>0</v>
      </c>
      <c r="H15" s="236"/>
      <c r="I15" s="235" t="s">
        <v>168</v>
      </c>
      <c r="J15" s="225">
        <f>+'SOSU-OK'!E97*'SOSU-OK'!F97*J6/J7</f>
        <v>0</v>
      </c>
    </row>
    <row r="16" spans="1:10" ht="25.7" x14ac:dyDescent="0.25">
      <c r="A16" s="224" t="s">
        <v>114</v>
      </c>
      <c r="B16" s="225">
        <f>+'BPA-HHOK'!M78*G6</f>
        <v>0</v>
      </c>
      <c r="C16" s="225">
        <f>+'SOSU-OK'!M78*J6</f>
        <v>0</v>
      </c>
      <c r="D16" s="226"/>
      <c r="E16" s="227"/>
      <c r="F16" s="244" t="s">
        <v>169</v>
      </c>
      <c r="G16" s="245">
        <f>SUM(G10:G15)-G11</f>
        <v>0</v>
      </c>
      <c r="H16" s="246"/>
      <c r="I16" s="244" t="s">
        <v>169</v>
      </c>
      <c r="J16" s="247">
        <f>SUM(J10:J15)-J11</f>
        <v>0</v>
      </c>
    </row>
    <row r="17" spans="1:11" x14ac:dyDescent="0.25">
      <c r="A17" s="224" t="s">
        <v>107</v>
      </c>
      <c r="B17" s="225">
        <f>+'BPA-HHOK'!M70*G6</f>
        <v>0</v>
      </c>
      <c r="C17" s="225">
        <f>+'SOSU-OK'!M70*J6</f>
        <v>0</v>
      </c>
      <c r="D17" s="226" t="s">
        <v>298</v>
      </c>
      <c r="E17" s="227"/>
      <c r="F17" s="248"/>
      <c r="G17" s="249"/>
      <c r="H17" s="249"/>
      <c r="I17" s="248"/>
      <c r="J17" s="249"/>
    </row>
    <row r="18" spans="1:11" x14ac:dyDescent="0.25">
      <c r="A18" s="224" t="s">
        <v>162</v>
      </c>
      <c r="B18" s="225">
        <f>+('BPA-HHOK'!M72+'BPA-HHOK'!M74)*G6</f>
        <v>0</v>
      </c>
      <c r="C18" s="225">
        <f>+('SOSU-OK'!M72+'SOSU-OK'!M74)*J6</f>
        <v>0</v>
      </c>
      <c r="D18" s="226"/>
      <c r="E18" s="227"/>
    </row>
    <row r="19" spans="1:11" x14ac:dyDescent="0.25">
      <c r="A19" s="224" t="s">
        <v>159</v>
      </c>
      <c r="B19" s="225">
        <f>+'BPA-HHOK'!M76*G6</f>
        <v>0</v>
      </c>
      <c r="C19" s="225">
        <f>+'SOSU-OK'!M76*J6</f>
        <v>0</v>
      </c>
      <c r="D19" s="226"/>
      <c r="E19" s="227"/>
    </row>
    <row r="20" spans="1:11" x14ac:dyDescent="0.25">
      <c r="A20" s="250" t="s">
        <v>244</v>
      </c>
      <c r="B20" s="251" t="e">
        <f>SUM(B11:B19)</f>
        <v>#DIV/0!</v>
      </c>
      <c r="C20" s="251" t="e">
        <f>SUM(C11:C19)</f>
        <v>#DIV/0!</v>
      </c>
      <c r="D20" s="252"/>
      <c r="E20" s="253"/>
    </row>
    <row r="21" spans="1:11" x14ac:dyDescent="0.25">
      <c r="A21" s="224" t="s">
        <v>265</v>
      </c>
      <c r="B21" s="225" t="e">
        <f>+'BPA-HHOK'!M83-'BPA-HHOK'!M82</f>
        <v>#DIV/0!</v>
      </c>
      <c r="C21" s="225" t="e">
        <f>+'SOSU-OK'!M83-'SOSU-OK'!M82</f>
        <v>#DIV/0!</v>
      </c>
      <c r="D21" s="226" t="s">
        <v>171</v>
      </c>
      <c r="E21" s="227"/>
    </row>
    <row r="22" spans="1:11" x14ac:dyDescent="0.25">
      <c r="A22" s="254" t="s">
        <v>243</v>
      </c>
      <c r="B22" s="247" t="e">
        <f>SUM(B20:B21)</f>
        <v>#DIV/0!</v>
      </c>
      <c r="C22" s="247" t="e">
        <f>SUM(C20:C21)</f>
        <v>#DIV/0!</v>
      </c>
      <c r="D22" s="255"/>
      <c r="E22" s="248"/>
    </row>
    <row r="23" spans="1:11" x14ac:dyDescent="0.25">
      <c r="A23" s="224" t="s">
        <v>108</v>
      </c>
      <c r="B23" s="225">
        <f>+'BPA-HHOK'!M93</f>
        <v>0</v>
      </c>
      <c r="C23" s="225">
        <f>+'SOSU-OK'!M93</f>
        <v>0</v>
      </c>
      <c r="D23" s="226" t="s">
        <v>111</v>
      </c>
      <c r="E23" s="227"/>
    </row>
    <row r="24" spans="1:11" x14ac:dyDescent="0.25">
      <c r="A24" s="224" t="s">
        <v>83</v>
      </c>
      <c r="B24" s="225">
        <f>+'BPA-HHOK'!M95</f>
        <v>0</v>
      </c>
      <c r="C24" s="225">
        <f>+'SOSU-OK'!M95</f>
        <v>0</v>
      </c>
      <c r="D24" s="226" t="s">
        <v>111</v>
      </c>
      <c r="E24" s="227"/>
    </row>
    <row r="25" spans="1:11" x14ac:dyDescent="0.25">
      <c r="A25" s="224" t="s">
        <v>110</v>
      </c>
      <c r="B25" s="225">
        <f>+'BPA-HHOK'!M97</f>
        <v>0</v>
      </c>
      <c r="C25" s="225">
        <f>+'SOSU-OK'!M97</f>
        <v>0</v>
      </c>
      <c r="D25" s="226" t="s">
        <v>155</v>
      </c>
      <c r="E25" s="227"/>
    </row>
    <row r="26" spans="1:11" s="256" customFormat="1" x14ac:dyDescent="0.25">
      <c r="A26" s="254" t="s">
        <v>153</v>
      </c>
      <c r="B26" s="247" t="e">
        <f>+SUM(B22:B25)</f>
        <v>#DIV/0!</v>
      </c>
      <c r="C26" s="247" t="e">
        <f>+SUM(C22:C25)</f>
        <v>#DIV/0!</v>
      </c>
      <c r="D26" s="255"/>
      <c r="E26" s="248"/>
      <c r="F26" s="100"/>
      <c r="G26" s="100"/>
      <c r="H26" s="100"/>
      <c r="I26" s="100"/>
      <c r="J26" s="100"/>
      <c r="K26"/>
    </row>
    <row r="27" spans="1:11" x14ac:dyDescent="0.25">
      <c r="A27" s="224" t="s">
        <v>245</v>
      </c>
      <c r="B27" s="225">
        <f>+SUM('BPA-HHOK'!M112:M116)</f>
        <v>0</v>
      </c>
      <c r="C27" s="225">
        <f>+SUM('SOSU-OK'!M112:M116)</f>
        <v>0</v>
      </c>
      <c r="D27" s="226" t="s">
        <v>155</v>
      </c>
      <c r="E27" s="227"/>
    </row>
    <row r="28" spans="1:11" x14ac:dyDescent="0.25">
      <c r="A28" s="224" t="s">
        <v>109</v>
      </c>
      <c r="B28" s="225" t="e">
        <f>+'BPA-HHOK'!M108+'BPA-HHOK'!M110</f>
        <v>#DIV/0!</v>
      </c>
      <c r="C28" s="225" t="e">
        <f>+'SOSU-OK'!M108+'SOSU-OK'!M110</f>
        <v>#DIV/0!</v>
      </c>
      <c r="D28" s="226" t="s">
        <v>246</v>
      </c>
      <c r="E28" s="227"/>
      <c r="K28" s="256"/>
    </row>
    <row r="29" spans="1:11" x14ac:dyDescent="0.25">
      <c r="A29" s="254" t="s">
        <v>154</v>
      </c>
      <c r="B29" s="247" t="e">
        <f>SUM(B26:B28)</f>
        <v>#DIV/0!</v>
      </c>
      <c r="C29" s="247" t="e">
        <f>SUM(C26:C28)</f>
        <v>#DIV/0!</v>
      </c>
      <c r="D29" s="255"/>
      <c r="E29" s="248"/>
    </row>
    <row r="30" spans="1:11" x14ac:dyDescent="0.25">
      <c r="A30" s="224" t="s">
        <v>145</v>
      </c>
      <c r="B30" s="225" t="e">
        <f>+'BPA-HHOK'!M89</f>
        <v>#DIV/0!</v>
      </c>
      <c r="C30" s="225" t="e">
        <f>+'SOSU-OK'!M89</f>
        <v>#DIV/0!</v>
      </c>
      <c r="D30" s="226"/>
      <c r="E30" s="227"/>
      <c r="F30" s="103"/>
      <c r="G30" s="103"/>
      <c r="H30" s="103"/>
      <c r="I30" s="103"/>
      <c r="J30" s="103"/>
    </row>
    <row r="31" spans="1:11" ht="25.7" x14ac:dyDescent="0.25">
      <c r="A31" s="224" t="s">
        <v>123</v>
      </c>
      <c r="B31" s="225">
        <f>+'BPA-HHOK'!M99</f>
        <v>0</v>
      </c>
      <c r="C31" s="225">
        <f>+'SOSU-OK'!M99</f>
        <v>0</v>
      </c>
      <c r="D31" s="226" t="s">
        <v>302</v>
      </c>
      <c r="E31" s="227"/>
    </row>
    <row r="32" spans="1:11" x14ac:dyDescent="0.25">
      <c r="A32" s="254" t="s">
        <v>146</v>
      </c>
      <c r="B32" s="247" t="e">
        <f>SUM(B29:B31)</f>
        <v>#DIV/0!</v>
      </c>
      <c r="C32" s="247" t="e">
        <f>SUM(C29:C31)</f>
        <v>#DIV/0!</v>
      </c>
      <c r="D32" s="255"/>
      <c r="E32" s="248"/>
    </row>
    <row r="34" spans="1:11" x14ac:dyDescent="0.25">
      <c r="A34" s="254" t="s">
        <v>283</v>
      </c>
      <c r="B34" s="247" t="e">
        <f>+B32</f>
        <v>#DIV/0!</v>
      </c>
      <c r="C34" s="247" t="e">
        <f>+C32</f>
        <v>#DIV/0!</v>
      </c>
      <c r="D34" s="255"/>
      <c r="E34" s="248"/>
    </row>
    <row r="35" spans="1:11" s="258" customFormat="1" x14ac:dyDescent="0.25">
      <c r="A35" s="250" t="s">
        <v>175</v>
      </c>
      <c r="B35" s="251" t="e">
        <f>+B34/(G6/(G7/12))</f>
        <v>#DIV/0!</v>
      </c>
      <c r="C35" s="251" t="e">
        <f>+C34/(J6/J7*12)</f>
        <v>#DIV/0!</v>
      </c>
      <c r="D35" s="252"/>
      <c r="E35" s="257"/>
      <c r="F35" s="100"/>
      <c r="G35" s="100"/>
      <c r="H35" s="100"/>
      <c r="I35" s="100"/>
      <c r="J35" s="100"/>
      <c r="K35"/>
    </row>
    <row r="36" spans="1:11" s="258" customFormat="1" x14ac:dyDescent="0.25">
      <c r="A36" s="237" t="s">
        <v>173</v>
      </c>
      <c r="B36" s="238" t="e">
        <f>+B28</f>
        <v>#DIV/0!</v>
      </c>
      <c r="C36" s="238" t="e">
        <f>+C28</f>
        <v>#DIV/0!</v>
      </c>
      <c r="D36" s="239" t="s">
        <v>179</v>
      </c>
      <c r="E36" s="240"/>
      <c r="F36" s="100"/>
      <c r="G36" s="100"/>
      <c r="H36" s="100"/>
      <c r="I36" s="100"/>
      <c r="J36" s="100"/>
      <c r="K36"/>
    </row>
    <row r="37" spans="1:11" s="258" customFormat="1" x14ac:dyDescent="0.25">
      <c r="A37" s="237" t="s">
        <v>174</v>
      </c>
      <c r="B37" s="238">
        <f>+B27</f>
        <v>0</v>
      </c>
      <c r="C37" s="238">
        <f>+C27</f>
        <v>0</v>
      </c>
      <c r="D37" s="239" t="s">
        <v>179</v>
      </c>
      <c r="E37" s="240"/>
      <c r="F37" s="100"/>
      <c r="G37" s="100"/>
      <c r="H37" s="100"/>
      <c r="I37" s="100"/>
      <c r="J37" s="100"/>
    </row>
    <row r="38" spans="1:11" s="256" customFormat="1" ht="25.7" x14ac:dyDescent="0.25">
      <c r="A38" s="254" t="s">
        <v>172</v>
      </c>
      <c r="B38" s="247" t="e">
        <f>+(B34-B36-B37)/(G6/(G7/12))</f>
        <v>#DIV/0!</v>
      </c>
      <c r="C38" s="247" t="e">
        <f>+(C34-C36-C37)/(J6/(J7/12))</f>
        <v>#DIV/0!</v>
      </c>
      <c r="D38" s="255" t="s">
        <v>247</v>
      </c>
      <c r="E38" s="259"/>
      <c r="F38" s="100"/>
      <c r="G38" s="100"/>
      <c r="H38" s="100"/>
      <c r="I38" s="100"/>
      <c r="J38" s="100"/>
      <c r="K38" s="258"/>
    </row>
    <row r="39" spans="1:11" x14ac:dyDescent="0.25">
      <c r="A39" s="224" t="s">
        <v>170</v>
      </c>
      <c r="B39" s="225" t="e">
        <f>+B22/(G16-G15)</f>
        <v>#DIV/0!</v>
      </c>
      <c r="C39" s="225" t="e">
        <f>+C22/(J16-J15)</f>
        <v>#DIV/0!</v>
      </c>
      <c r="D39" s="255"/>
      <c r="F39" s="260"/>
      <c r="G39" s="260"/>
      <c r="H39" s="260"/>
      <c r="I39" s="260"/>
      <c r="J39" s="260"/>
      <c r="K39" s="258"/>
    </row>
    <row r="40" spans="1:11" x14ac:dyDescent="0.25">
      <c r="F40" s="260"/>
      <c r="G40" s="260"/>
      <c r="H40" s="260"/>
      <c r="I40" s="260"/>
      <c r="J40" s="260"/>
      <c r="K40" s="256"/>
    </row>
    <row r="41" spans="1:11" x14ac:dyDescent="0.25">
      <c r="F41" s="260"/>
      <c r="G41" s="260"/>
      <c r="H41" s="260"/>
      <c r="I41" s="260"/>
      <c r="J41" s="260"/>
    </row>
    <row r="42" spans="1:11" x14ac:dyDescent="0.25">
      <c r="F42" s="103"/>
      <c r="G42" s="103"/>
      <c r="H42" s="103"/>
      <c r="I42" s="103"/>
      <c r="J42" s="103"/>
    </row>
  </sheetData>
  <sheetProtection algorithmName="SHA-512" hashValue="kLaVeZak5y9z93gHkDtiWm5GeywYdtWz3+jttdUHrLkrog1ksGSVm+x6MgrIWTBhK37HVa2yH6DOjhs7jiFTWA==" saltValue="QoJb9poWtgvwKlYovdZjoQ==" spinCount="100000" sheet="1" objects="1" scenarios="1"/>
  <mergeCells count="4">
    <mergeCell ref="F4:G4"/>
    <mergeCell ref="I4:J4"/>
    <mergeCell ref="I3:J3"/>
    <mergeCell ref="F3:G3"/>
  </mergeCells>
  <pageMargins left="0.7" right="0.7" top="0.75" bottom="0.75" header="0.3" footer="0.3"/>
  <pageSetup paperSize="8" scale="99" fitToHeight="0" orientation="landscape" r:id="rId1"/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e6af6a-1476-4df8-a022-91b43d74a5fe">
      <Terms xmlns="http://schemas.microsoft.com/office/infopath/2007/PartnerControls"/>
    </lcf76f155ced4ddcb4097134ff3c332f>
    <TaxCatchAll xmlns="385c96bc-e50f-4680-a7fe-9fd0e7daf04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16D895616D844C8E905A16099DF622" ma:contentTypeVersion="18" ma:contentTypeDescription="Opret et nyt dokument." ma:contentTypeScope="" ma:versionID="6c85a06d215284c82046bc3f6d033b33">
  <xsd:schema xmlns:xsd="http://www.w3.org/2001/XMLSchema" xmlns:xs="http://www.w3.org/2001/XMLSchema" xmlns:p="http://schemas.microsoft.com/office/2006/metadata/properties" xmlns:ns2="62e6af6a-1476-4df8-a022-91b43d74a5fe" xmlns:ns3="385c96bc-e50f-4680-a7fe-9fd0e7daf04a" targetNamespace="http://schemas.microsoft.com/office/2006/metadata/properties" ma:root="true" ma:fieldsID="2fc1e9e065c3e67530d5aaede9b610b6" ns2:_="" ns3:_="">
    <xsd:import namespace="62e6af6a-1476-4df8-a022-91b43d74a5fe"/>
    <xsd:import namespace="385c96bc-e50f-4680-a7fe-9fd0e7daf0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af6a-1476-4df8-a022-91b43d74a5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bd6ad409-ced6-4e7c-be47-5c4a5c5bb8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5c96bc-e50f-4680-a7fe-9fd0e7daf04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a1805f2-372c-4d81-ae25-b7ab7b227c03}" ma:internalName="TaxCatchAll" ma:showField="CatchAllData" ma:web="385c96bc-e50f-4680-a7fe-9fd0e7daf0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F0963-97F0-4D07-935D-CCDEB191F9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F4CF91-A7C1-4EEE-B099-D66F75A47D5C}">
  <ds:schemaRefs>
    <ds:schemaRef ds:uri="62e6af6a-1476-4df8-a022-91b43d74a5fe"/>
    <ds:schemaRef ds:uri="http://purl.org/dc/elements/1.1/"/>
    <ds:schemaRef ds:uri="http://purl.org/dc/terms/"/>
    <ds:schemaRef ds:uri="385c96bc-e50f-4680-a7fe-9fd0e7daf04a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E454D30-6954-49D4-97B4-54F977551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e6af6a-1476-4df8-a022-91b43d74a5fe"/>
    <ds:schemaRef ds:uri="385c96bc-e50f-4680-a7fe-9fd0e7daf0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5445eb2-6822-4cf0-8a65-6deda71e3e95}" enabled="0" method="" siteId="{35445eb2-6822-4cf0-8a65-6deda71e3e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12</vt:i4>
      </vt:variant>
    </vt:vector>
  </HeadingPairs>
  <TitlesOfParts>
    <vt:vector size="17" baseType="lpstr">
      <vt:lpstr>Administration</vt:lpstr>
      <vt:lpstr>Forudsætninger</vt:lpstr>
      <vt:lpstr>BPA-HHOK</vt:lpstr>
      <vt:lpstr>SOSU-OK</vt:lpstr>
      <vt:lpstr>Budgetark</vt:lpstr>
      <vt:lpstr>Forhøjetpension</vt:lpstr>
      <vt:lpstr>Fremskrivning</vt:lpstr>
      <vt:lpstr>Kommuneliste</vt:lpstr>
      <vt:lpstr>Kommunenavn</vt:lpstr>
      <vt:lpstr>Lønsatser</vt:lpstr>
      <vt:lpstr>Løntrin</vt:lpstr>
      <vt:lpstr>Løntrin2</vt:lpstr>
      <vt:lpstr>Stedtillæg</vt:lpstr>
      <vt:lpstr>Stedtillæg2</vt:lpstr>
      <vt:lpstr>Timepriser</vt:lpstr>
      <vt:lpstr>Timepriser2</vt:lpstr>
      <vt:lpstr>Vælg</vt:lpstr>
    </vt:vector>
  </TitlesOfParts>
  <Company>Vejle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ØVRIGE</dc:subject>
  <dc:creator>Kristina Munkegaard</dc:creator>
  <dc:description>MASTER TIL KRONEBEREGNING</dc:description>
  <cp:lastModifiedBy>Martin Jeppesen Nyborg</cp:lastModifiedBy>
  <cp:lastPrinted>2019-08-28T12:57:08Z</cp:lastPrinted>
  <dcterms:created xsi:type="dcterms:W3CDTF">2009-06-02T07:30:36Z</dcterms:created>
  <dcterms:modified xsi:type="dcterms:W3CDTF">2025-01-10T12:10:23Z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0x0101000D16D895616D844C8E905A16099DF622</vt:lpwstr>
  </property>
  <property fmtid="{D5CDD505-2E9C-101B-9397-08002B2CF9AE}" pid="3" name="MediaServiceImageTags">
    <vt:lpwstr/>
  </property>
</Properties>
</file>